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mwrosslee/Downloads/MinVal/Models/"/>
    </mc:Choice>
  </mc:AlternateContent>
  <xr:revisionPtr revIDLastSave="0" documentId="13_ncr:1_{34F0A6A5-83A5-D64D-91D8-C792837735B7}" xr6:coauthVersionLast="47" xr6:coauthVersionMax="47" xr10:uidLastSave="{00000000-0000-0000-0000-000000000000}"/>
  <bookViews>
    <workbookView xWindow="0" yWindow="0" windowWidth="32440" windowHeight="19080" tabRatio="500" firstSheet="6" activeTab="18" xr2:uid="{00000000-000D-0000-FFFF-FFFF00000000}"/>
  </bookViews>
  <sheets>
    <sheet name="Model Map" sheetId="1" r:id="rId1"/>
    <sheet name="Assumptions" sheetId="2" r:id="rId2"/>
    <sheet name="Executive Summary" sheetId="3" r:id="rId3"/>
    <sheet name="Operations" sheetId="4" r:id="rId4"/>
    <sheet name="Precious Metals" sheetId="5" r:id="rId5"/>
    <sheet name="Base Metals" sheetId="6" r:id="rId6"/>
    <sheet name="By-product Revenue" sheetId="7" r:id="rId7"/>
    <sheet name="Income Statement" sheetId="8" r:id="rId8"/>
    <sheet name="SA Tax Computation" sheetId="9" r:id="rId9"/>
    <sheet name="Fixed Assets" sheetId="10" r:id="rId10"/>
    <sheet name="Exploration" sheetId="11" r:id="rId11"/>
    <sheet name="Balance Sheet" sheetId="12" r:id="rId12"/>
    <sheet name="Debt Schedule" sheetId="13" r:id="rId13"/>
    <sheet name="Cash Flow" sheetId="14" r:id="rId14"/>
    <sheet name="FCF Analysis" sheetId="15" r:id="rId15"/>
    <sheet name="KPIs" sheetId="16" r:id="rId16"/>
    <sheet name="Sensitivity Analysis" sheetId="17" r:id="rId17"/>
    <sheet name="Checks" sheetId="18" r:id="rId18"/>
    <sheet name="Charts" sheetId="19" r:id="rId1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19" l="1"/>
  <c r="B11" i="18"/>
  <c r="B8" i="18"/>
  <c r="C28" i="14"/>
  <c r="W19" i="14"/>
  <c r="V19" i="14"/>
  <c r="U19" i="14"/>
  <c r="T19" i="14"/>
  <c r="S19" i="14"/>
  <c r="R19" i="14"/>
  <c r="Q19" i="14"/>
  <c r="P19" i="14"/>
  <c r="O19" i="14"/>
  <c r="N19" i="14"/>
  <c r="L19" i="14"/>
  <c r="K19" i="14"/>
  <c r="J19" i="14"/>
  <c r="I19" i="14"/>
  <c r="H19" i="14"/>
  <c r="G19" i="14"/>
  <c r="F19" i="14"/>
  <c r="E19" i="14"/>
  <c r="D19" i="14"/>
  <c r="C19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W14" i="14"/>
  <c r="V14" i="14"/>
  <c r="U14" i="14"/>
  <c r="T14" i="14"/>
  <c r="S14" i="14"/>
  <c r="R14" i="14"/>
  <c r="Q14" i="14"/>
  <c r="P14" i="14"/>
  <c r="O14" i="14"/>
  <c r="C20" i="13"/>
  <c r="C23" i="14" s="1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G18" i="13"/>
  <c r="F18" i="13"/>
  <c r="E18" i="13"/>
  <c r="D18" i="13"/>
  <c r="W17" i="13"/>
  <c r="W20" i="13" s="1"/>
  <c r="V17" i="13"/>
  <c r="V20" i="13" s="1"/>
  <c r="U17" i="13"/>
  <c r="U20" i="13" s="1"/>
  <c r="T17" i="13"/>
  <c r="T20" i="13" s="1"/>
  <c r="S17" i="13"/>
  <c r="S20" i="13" s="1"/>
  <c r="R17" i="13"/>
  <c r="R20" i="13" s="1"/>
  <c r="Q17" i="13"/>
  <c r="Q20" i="13" s="1"/>
  <c r="P17" i="13"/>
  <c r="P20" i="13" s="1"/>
  <c r="O17" i="13"/>
  <c r="O20" i="13" s="1"/>
  <c r="N17" i="13"/>
  <c r="N20" i="13" s="1"/>
  <c r="M17" i="13"/>
  <c r="M20" i="13" s="1"/>
  <c r="L17" i="13"/>
  <c r="L20" i="13" s="1"/>
  <c r="D17" i="13"/>
  <c r="D20" i="13" s="1"/>
  <c r="W15" i="13"/>
  <c r="W30" i="13" s="1"/>
  <c r="W16" i="15" s="1"/>
  <c r="V15" i="13"/>
  <c r="V22" i="14" s="1"/>
  <c r="U15" i="13"/>
  <c r="U22" i="14" s="1"/>
  <c r="T15" i="13"/>
  <c r="T22" i="14" s="1"/>
  <c r="S15" i="13"/>
  <c r="S22" i="14" s="1"/>
  <c r="R15" i="13"/>
  <c r="R22" i="14" s="1"/>
  <c r="Q15" i="13"/>
  <c r="Q22" i="14" s="1"/>
  <c r="P15" i="13"/>
  <c r="P22" i="14" s="1"/>
  <c r="O15" i="13"/>
  <c r="O22" i="14" s="1"/>
  <c r="N15" i="13"/>
  <c r="N22" i="14" s="1"/>
  <c r="M15" i="13"/>
  <c r="M22" i="14" s="1"/>
  <c r="L15" i="13"/>
  <c r="L22" i="14" s="1"/>
  <c r="K15" i="13"/>
  <c r="J15" i="13"/>
  <c r="J22" i="14" s="1"/>
  <c r="I15" i="13"/>
  <c r="I22" i="14" s="1"/>
  <c r="H15" i="13"/>
  <c r="H22" i="14" s="1"/>
  <c r="G15" i="13"/>
  <c r="F15" i="13"/>
  <c r="F22" i="14" s="1"/>
  <c r="E15" i="13"/>
  <c r="E22" i="14" s="1"/>
  <c r="D15" i="13"/>
  <c r="D22" i="14" s="1"/>
  <c r="C10" i="13"/>
  <c r="T17" i="12"/>
  <c r="S17" i="12"/>
  <c r="P17" i="12"/>
  <c r="O17" i="12"/>
  <c r="L17" i="12"/>
  <c r="K17" i="12"/>
  <c r="C17" i="12"/>
  <c r="W12" i="12"/>
  <c r="V12" i="12"/>
  <c r="U12" i="12"/>
  <c r="T12" i="12"/>
  <c r="S12" i="12"/>
  <c r="R12" i="12"/>
  <c r="Q12" i="12"/>
  <c r="P12" i="12"/>
  <c r="O12" i="12"/>
  <c r="N12" i="12"/>
  <c r="M12" i="12"/>
  <c r="C10" i="12"/>
  <c r="C14" i="14" s="1"/>
  <c r="C16" i="11"/>
  <c r="C11" i="12" s="1"/>
  <c r="L14" i="11"/>
  <c r="K14" i="11"/>
  <c r="K20" i="9" s="1"/>
  <c r="H14" i="11"/>
  <c r="G14" i="11"/>
  <c r="G20" i="9" s="1"/>
  <c r="D14" i="11"/>
  <c r="X5" i="11"/>
  <c r="C5" i="11"/>
  <c r="C17" i="14" s="1"/>
  <c r="C34" i="10"/>
  <c r="V8" i="10"/>
  <c r="R8" i="10"/>
  <c r="N8" i="10"/>
  <c r="W7" i="10"/>
  <c r="W8" i="10" s="1"/>
  <c r="V7" i="10"/>
  <c r="U7" i="10"/>
  <c r="U8" i="10" s="1"/>
  <c r="T7" i="10"/>
  <c r="T8" i="10" s="1"/>
  <c r="S7" i="10"/>
  <c r="S8" i="10" s="1"/>
  <c r="R7" i="10"/>
  <c r="Q7" i="10"/>
  <c r="Q8" i="10" s="1"/>
  <c r="P7" i="10"/>
  <c r="P8" i="10" s="1"/>
  <c r="O7" i="10"/>
  <c r="O8" i="10" s="1"/>
  <c r="N7" i="10"/>
  <c r="M6" i="10"/>
  <c r="L6" i="10"/>
  <c r="K6" i="10"/>
  <c r="J6" i="10"/>
  <c r="I6" i="10"/>
  <c r="H6" i="10"/>
  <c r="G6" i="10"/>
  <c r="F6" i="10"/>
  <c r="E6" i="10"/>
  <c r="E8" i="10" s="1"/>
  <c r="D6" i="10"/>
  <c r="D8" i="10" s="1"/>
  <c r="C6" i="10"/>
  <c r="W20" i="9"/>
  <c r="V20" i="9"/>
  <c r="U20" i="9"/>
  <c r="T20" i="9"/>
  <c r="S20" i="9"/>
  <c r="R20" i="9"/>
  <c r="Q20" i="9"/>
  <c r="P20" i="9"/>
  <c r="O20" i="9"/>
  <c r="N20" i="9"/>
  <c r="L20" i="9"/>
  <c r="H20" i="9"/>
  <c r="D20" i="9"/>
  <c r="C20" i="9"/>
  <c r="V19" i="9"/>
  <c r="R19" i="9"/>
  <c r="N19" i="9"/>
  <c r="C14" i="9"/>
  <c r="C34" i="8"/>
  <c r="C23" i="8"/>
  <c r="W22" i="8"/>
  <c r="W8" i="14" s="1"/>
  <c r="V22" i="8"/>
  <c r="V8" i="14" s="1"/>
  <c r="U22" i="8"/>
  <c r="U8" i="14" s="1"/>
  <c r="T22" i="8"/>
  <c r="T8" i="14" s="1"/>
  <c r="S22" i="8"/>
  <c r="S8" i="14" s="1"/>
  <c r="R22" i="8"/>
  <c r="R8" i="14" s="1"/>
  <c r="Q22" i="8"/>
  <c r="Q8" i="14" s="1"/>
  <c r="P22" i="8"/>
  <c r="P8" i="14" s="1"/>
  <c r="O22" i="8"/>
  <c r="O8" i="14" s="1"/>
  <c r="N22" i="8"/>
  <c r="N8" i="14" s="1"/>
  <c r="L22" i="8"/>
  <c r="L8" i="14" s="1"/>
  <c r="K22" i="8"/>
  <c r="K8" i="14" s="1"/>
  <c r="J22" i="8"/>
  <c r="J8" i="14" s="1"/>
  <c r="I22" i="8"/>
  <c r="I8" i="14" s="1"/>
  <c r="H22" i="8"/>
  <c r="H8" i="14" s="1"/>
  <c r="G22" i="8"/>
  <c r="G8" i="14" s="1"/>
  <c r="F22" i="8"/>
  <c r="F8" i="14" s="1"/>
  <c r="E22" i="8"/>
  <c r="E8" i="14" s="1"/>
  <c r="D22" i="8"/>
  <c r="D8" i="14" s="1"/>
  <c r="C22" i="8"/>
  <c r="W19" i="8"/>
  <c r="V19" i="8"/>
  <c r="U19" i="8"/>
  <c r="U12" i="9" s="1"/>
  <c r="U18" i="9" s="1"/>
  <c r="T19" i="8"/>
  <c r="S19" i="8"/>
  <c r="R19" i="8"/>
  <c r="Q19" i="8"/>
  <c r="Q12" i="9" s="1"/>
  <c r="Q18" i="9" s="1"/>
  <c r="P19" i="8"/>
  <c r="O19" i="8"/>
  <c r="N19" i="8"/>
  <c r="C19" i="8"/>
  <c r="M15" i="8"/>
  <c r="L15" i="8"/>
  <c r="K15" i="8"/>
  <c r="J15" i="8"/>
  <c r="I15" i="8"/>
  <c r="H15" i="8"/>
  <c r="G15" i="8"/>
  <c r="F15" i="8"/>
  <c r="E15" i="8"/>
  <c r="X15" i="8" s="1"/>
  <c r="D15" i="8"/>
  <c r="W10" i="8"/>
  <c r="W11" i="9" s="1"/>
  <c r="V10" i="8"/>
  <c r="V11" i="9" s="1"/>
  <c r="U10" i="8"/>
  <c r="U11" i="9" s="1"/>
  <c r="T10" i="8"/>
  <c r="T11" i="9" s="1"/>
  <c r="S10" i="8"/>
  <c r="S11" i="9" s="1"/>
  <c r="R10" i="8"/>
  <c r="R11" i="9" s="1"/>
  <c r="Q10" i="8"/>
  <c r="Q11" i="9" s="1"/>
  <c r="P10" i="8"/>
  <c r="P11" i="9" s="1"/>
  <c r="O10" i="8"/>
  <c r="O11" i="9" s="1"/>
  <c r="N10" i="8"/>
  <c r="N11" i="9" s="1"/>
  <c r="C10" i="8"/>
  <c r="C11" i="9" s="1"/>
  <c r="C9" i="8"/>
  <c r="E58" i="6"/>
  <c r="F58" i="6" s="1"/>
  <c r="G58" i="6" s="1"/>
  <c r="H58" i="6" s="1"/>
  <c r="I58" i="6" s="1"/>
  <c r="J58" i="6" s="1"/>
  <c r="K58" i="6" s="1"/>
  <c r="L58" i="6" s="1"/>
  <c r="M58" i="6" s="1"/>
  <c r="N58" i="6" s="1"/>
  <c r="O58" i="6" s="1"/>
  <c r="P58" i="6" s="1"/>
  <c r="Q58" i="6" s="1"/>
  <c r="R58" i="6" s="1"/>
  <c r="S58" i="6" s="1"/>
  <c r="T58" i="6" s="1"/>
  <c r="U58" i="6" s="1"/>
  <c r="V58" i="6" s="1"/>
  <c r="W58" i="6" s="1"/>
  <c r="C58" i="6"/>
  <c r="D58" i="6" s="1"/>
  <c r="S57" i="6"/>
  <c r="O57" i="6"/>
  <c r="C57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T51" i="6"/>
  <c r="U51" i="6" s="1"/>
  <c r="V51" i="6" s="1"/>
  <c r="W51" i="6" s="1"/>
  <c r="D51" i="6"/>
  <c r="E51" i="6" s="1"/>
  <c r="F51" i="6" s="1"/>
  <c r="G51" i="6" s="1"/>
  <c r="H51" i="6" s="1"/>
  <c r="I51" i="6" s="1"/>
  <c r="J51" i="6" s="1"/>
  <c r="K51" i="6" s="1"/>
  <c r="L51" i="6" s="1"/>
  <c r="M51" i="6" s="1"/>
  <c r="N51" i="6" s="1"/>
  <c r="O51" i="6" s="1"/>
  <c r="P51" i="6" s="1"/>
  <c r="Q51" i="6" s="1"/>
  <c r="R51" i="6" s="1"/>
  <c r="S51" i="6" s="1"/>
  <c r="C51" i="6"/>
  <c r="R50" i="6"/>
  <c r="N50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O44" i="6"/>
  <c r="P44" i="6" s="1"/>
  <c r="Q44" i="6" s="1"/>
  <c r="R44" i="6" s="1"/>
  <c r="S44" i="6" s="1"/>
  <c r="T44" i="6" s="1"/>
  <c r="U44" i="6" s="1"/>
  <c r="V44" i="6" s="1"/>
  <c r="W44" i="6" s="1"/>
  <c r="C44" i="6"/>
  <c r="D44" i="6" s="1"/>
  <c r="E44" i="6" s="1"/>
  <c r="F44" i="6" s="1"/>
  <c r="G44" i="6" s="1"/>
  <c r="H44" i="6" s="1"/>
  <c r="I44" i="6" s="1"/>
  <c r="J44" i="6" s="1"/>
  <c r="K44" i="6" s="1"/>
  <c r="L44" i="6" s="1"/>
  <c r="M44" i="6" s="1"/>
  <c r="N44" i="6" s="1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F37" i="6"/>
  <c r="G37" i="6" s="1"/>
  <c r="H37" i="6" s="1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T37" i="6" s="1"/>
  <c r="U37" i="6" s="1"/>
  <c r="V37" i="6" s="1"/>
  <c r="W37" i="6" s="1"/>
  <c r="C37" i="6"/>
  <c r="D37" i="6" s="1"/>
  <c r="E37" i="6" s="1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30" i="6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D30" i="6"/>
  <c r="C30" i="6"/>
  <c r="W29" i="6"/>
  <c r="S29" i="6"/>
  <c r="C29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D23" i="6"/>
  <c r="E23" i="6" s="1"/>
  <c r="F23" i="6" s="1"/>
  <c r="G23" i="6" s="1"/>
  <c r="C23" i="6"/>
  <c r="V22" i="6"/>
  <c r="R22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S16" i="6"/>
  <c r="T16" i="6" s="1"/>
  <c r="U16" i="6" s="1"/>
  <c r="V16" i="6" s="1"/>
  <c r="W16" i="6" s="1"/>
  <c r="C16" i="6"/>
  <c r="D16" i="6" s="1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C15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D9" i="6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C9" i="6"/>
  <c r="V8" i="6"/>
  <c r="R8" i="6"/>
  <c r="N8" i="6"/>
  <c r="W7" i="6"/>
  <c r="W8" i="6" s="1"/>
  <c r="W10" i="6" s="1"/>
  <c r="V7" i="6"/>
  <c r="U7" i="6"/>
  <c r="T7" i="6"/>
  <c r="S7" i="6"/>
  <c r="S8" i="6" s="1"/>
  <c r="S10" i="6" s="1"/>
  <c r="R7" i="6"/>
  <c r="Q7" i="6"/>
  <c r="P7" i="6"/>
  <c r="O7" i="6"/>
  <c r="O8" i="6" s="1"/>
  <c r="O10" i="6" s="1"/>
  <c r="N7" i="6"/>
  <c r="M7" i="6"/>
  <c r="L7" i="6"/>
  <c r="K7" i="6"/>
  <c r="J7" i="6"/>
  <c r="I7" i="6"/>
  <c r="H7" i="6"/>
  <c r="G7" i="6"/>
  <c r="F7" i="6"/>
  <c r="E7" i="6"/>
  <c r="D7" i="6"/>
  <c r="C7" i="6"/>
  <c r="C8" i="6" s="1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E34" i="5"/>
  <c r="F34" i="5" s="1"/>
  <c r="G34" i="5" s="1"/>
  <c r="H34" i="5" s="1"/>
  <c r="I34" i="5" s="1"/>
  <c r="J34" i="5" s="1"/>
  <c r="K34" i="5" s="1"/>
  <c r="L34" i="5" s="1"/>
  <c r="M34" i="5" s="1"/>
  <c r="N34" i="5" s="1"/>
  <c r="O34" i="5" s="1"/>
  <c r="P34" i="5" s="1"/>
  <c r="Q34" i="5" s="1"/>
  <c r="R34" i="5" s="1"/>
  <c r="S34" i="5" s="1"/>
  <c r="T34" i="5" s="1"/>
  <c r="U34" i="5" s="1"/>
  <c r="V34" i="5" s="1"/>
  <c r="W34" i="5" s="1"/>
  <c r="C34" i="5"/>
  <c r="D34" i="5" s="1"/>
  <c r="U32" i="5"/>
  <c r="U33" i="5" s="1"/>
  <c r="W31" i="5"/>
  <c r="V31" i="5"/>
  <c r="V32" i="5" s="1"/>
  <c r="V33" i="5" s="1"/>
  <c r="U31" i="5"/>
  <c r="T31" i="5"/>
  <c r="S31" i="5"/>
  <c r="R31" i="5"/>
  <c r="R32" i="5" s="1"/>
  <c r="R33" i="5" s="1"/>
  <c r="Q31" i="5"/>
  <c r="P31" i="5"/>
  <c r="O31" i="5"/>
  <c r="N31" i="5"/>
  <c r="N32" i="5" s="1"/>
  <c r="N33" i="5" s="1"/>
  <c r="M31" i="5"/>
  <c r="L31" i="5"/>
  <c r="K31" i="5"/>
  <c r="J31" i="5"/>
  <c r="I31" i="5"/>
  <c r="H31" i="5"/>
  <c r="G31" i="5"/>
  <c r="F31" i="5"/>
  <c r="E31" i="5"/>
  <c r="D31" i="5"/>
  <c r="C31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F26" i="5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V26" i="5" s="1"/>
  <c r="W26" i="5" s="1"/>
  <c r="C26" i="5"/>
  <c r="D26" i="5" s="1"/>
  <c r="E26" i="5" s="1"/>
  <c r="V24" i="5"/>
  <c r="V25" i="5" s="1"/>
  <c r="R24" i="5"/>
  <c r="R25" i="5" s="1"/>
  <c r="N24" i="5"/>
  <c r="N25" i="5" s="1"/>
  <c r="W23" i="5"/>
  <c r="W24" i="5" s="1"/>
  <c r="W25" i="5" s="1"/>
  <c r="V23" i="5"/>
  <c r="U23" i="5"/>
  <c r="T23" i="5"/>
  <c r="S23" i="5"/>
  <c r="S24" i="5" s="1"/>
  <c r="S25" i="5" s="1"/>
  <c r="R23" i="5"/>
  <c r="Q23" i="5"/>
  <c r="P23" i="5"/>
  <c r="O23" i="5"/>
  <c r="O24" i="5" s="1"/>
  <c r="O25" i="5" s="1"/>
  <c r="N23" i="5"/>
  <c r="M23" i="5"/>
  <c r="L23" i="5"/>
  <c r="K23" i="5"/>
  <c r="J23" i="5"/>
  <c r="I23" i="5"/>
  <c r="H23" i="5"/>
  <c r="G23" i="5"/>
  <c r="F23" i="5"/>
  <c r="E23" i="5"/>
  <c r="D23" i="5"/>
  <c r="C23" i="5"/>
  <c r="C24" i="5" s="1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G18" i="5"/>
  <c r="H18" i="5" s="1"/>
  <c r="I18" i="5" s="1"/>
  <c r="J18" i="5" s="1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V18" i="5" s="1"/>
  <c r="W18" i="5" s="1"/>
  <c r="C18" i="5"/>
  <c r="D18" i="5" s="1"/>
  <c r="E18" i="5" s="1"/>
  <c r="F18" i="5" s="1"/>
  <c r="W16" i="5"/>
  <c r="W17" i="5" s="1"/>
  <c r="T16" i="5"/>
  <c r="T17" i="5" s="1"/>
  <c r="S16" i="5"/>
  <c r="S17" i="5" s="1"/>
  <c r="O16" i="5"/>
  <c r="O17" i="5" s="1"/>
  <c r="C16" i="5"/>
  <c r="C17" i="5" s="1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E10" i="5"/>
  <c r="F10" i="5" s="1"/>
  <c r="G10" i="5" s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D10" i="5"/>
  <c r="C10" i="5"/>
  <c r="T8" i="5"/>
  <c r="T9" i="5" s="1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M24" i="4"/>
  <c r="M10" i="8" s="1"/>
  <c r="J24" i="4"/>
  <c r="J10" i="8" s="1"/>
  <c r="I24" i="4"/>
  <c r="I10" i="8" s="1"/>
  <c r="F24" i="4"/>
  <c r="F10" i="8" s="1"/>
  <c r="E24" i="4"/>
  <c r="E10" i="8" s="1"/>
  <c r="W23" i="4"/>
  <c r="W9" i="8" s="1"/>
  <c r="V23" i="4"/>
  <c r="V9" i="8" s="1"/>
  <c r="U23" i="4"/>
  <c r="U9" i="8" s="1"/>
  <c r="T23" i="4"/>
  <c r="T9" i="8" s="1"/>
  <c r="S23" i="4"/>
  <c r="S9" i="8" s="1"/>
  <c r="R23" i="4"/>
  <c r="R9" i="8" s="1"/>
  <c r="Q23" i="4"/>
  <c r="Q9" i="8" s="1"/>
  <c r="P23" i="4"/>
  <c r="P9" i="8" s="1"/>
  <c r="O23" i="4"/>
  <c r="O9" i="8" s="1"/>
  <c r="N23" i="4"/>
  <c r="N9" i="8" s="1"/>
  <c r="E22" i="4"/>
  <c r="F22" i="4" s="1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C22" i="4"/>
  <c r="D22" i="4" s="1"/>
  <c r="C21" i="4"/>
  <c r="D21" i="4" s="1"/>
  <c r="E21" i="4" s="1"/>
  <c r="F21" i="4" s="1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T21" i="4" s="1"/>
  <c r="U21" i="4" s="1"/>
  <c r="V21" i="4" s="1"/>
  <c r="W21" i="4" s="1"/>
  <c r="H20" i="4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G20" i="4"/>
  <c r="D20" i="4"/>
  <c r="E20" i="4" s="1"/>
  <c r="F20" i="4" s="1"/>
  <c r="U19" i="4"/>
  <c r="U18" i="4"/>
  <c r="R18" i="4"/>
  <c r="R19" i="4" s="1"/>
  <c r="Q18" i="4"/>
  <c r="Q19" i="4" s="1"/>
  <c r="J18" i="4"/>
  <c r="W17" i="4"/>
  <c r="W18" i="4" s="1"/>
  <c r="W19" i="4" s="1"/>
  <c r="V17" i="4"/>
  <c r="V18" i="4" s="1"/>
  <c r="V19" i="4" s="1"/>
  <c r="U17" i="4"/>
  <c r="T17" i="4"/>
  <c r="T18" i="4" s="1"/>
  <c r="T19" i="4" s="1"/>
  <c r="S17" i="4"/>
  <c r="S18" i="4" s="1"/>
  <c r="S19" i="4" s="1"/>
  <c r="R17" i="4"/>
  <c r="Q17" i="4"/>
  <c r="P17" i="4"/>
  <c r="P18" i="4" s="1"/>
  <c r="P19" i="4" s="1"/>
  <c r="O17" i="4"/>
  <c r="O18" i="4" s="1"/>
  <c r="O19" i="4" s="1"/>
  <c r="N17" i="4"/>
  <c r="N18" i="4" s="1"/>
  <c r="N19" i="4" s="1"/>
  <c r="M17" i="4"/>
  <c r="L17" i="4"/>
  <c r="K17" i="4"/>
  <c r="J17" i="4"/>
  <c r="I17" i="4"/>
  <c r="H17" i="4"/>
  <c r="G17" i="4"/>
  <c r="F17" i="4"/>
  <c r="E17" i="4"/>
  <c r="D17" i="4"/>
  <c r="C17" i="4"/>
  <c r="C18" i="4" s="1"/>
  <c r="C19" i="4" s="1"/>
  <c r="C16" i="4"/>
  <c r="B13" i="19" s="1"/>
  <c r="E15" i="4"/>
  <c r="F15" i="4" s="1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D15" i="4"/>
  <c r="C15" i="4"/>
  <c r="E14" i="4"/>
  <c r="E16" i="4" s="1"/>
  <c r="D13" i="19" s="1"/>
  <c r="C14" i="4"/>
  <c r="D14" i="4" s="1"/>
  <c r="D16" i="4" s="1"/>
  <c r="C13" i="19" s="1"/>
  <c r="T12" i="4"/>
  <c r="Q12" i="4"/>
  <c r="P12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W9" i="4"/>
  <c r="W57" i="6" s="1"/>
  <c r="V9" i="4"/>
  <c r="U9" i="4"/>
  <c r="U43" i="6" s="1"/>
  <c r="U45" i="6" s="1"/>
  <c r="U18" i="7" s="1"/>
  <c r="T9" i="4"/>
  <c r="S9" i="4"/>
  <c r="S32" i="5" s="1"/>
  <c r="S33" i="5" s="1"/>
  <c r="S35" i="5" s="1"/>
  <c r="S9" i="7" s="1"/>
  <c r="R9" i="4"/>
  <c r="Q9" i="4"/>
  <c r="P9" i="4"/>
  <c r="P15" i="6" s="1"/>
  <c r="P17" i="6" s="1"/>
  <c r="P14" i="7" s="1"/>
  <c r="O9" i="4"/>
  <c r="O32" i="5" s="1"/>
  <c r="O33" i="5" s="1"/>
  <c r="O35" i="5" s="1"/>
  <c r="O9" i="7" s="1"/>
  <c r="N9" i="4"/>
  <c r="C9" i="4"/>
  <c r="C32" i="5" s="1"/>
  <c r="C33" i="5" s="1"/>
  <c r="K8" i="4"/>
  <c r="G8" i="4"/>
  <c r="M7" i="4"/>
  <c r="M7" i="10" s="1"/>
  <c r="F7" i="4"/>
  <c r="F7" i="10" s="1"/>
  <c r="F8" i="10" s="1"/>
  <c r="W6" i="4"/>
  <c r="V6" i="4"/>
  <c r="U6" i="4"/>
  <c r="T6" i="4"/>
  <c r="S6" i="4"/>
  <c r="R6" i="4"/>
  <c r="Q6" i="4"/>
  <c r="P6" i="4"/>
  <c r="O6" i="4"/>
  <c r="N6" i="4"/>
  <c r="M6" i="4"/>
  <c r="L6" i="4"/>
  <c r="L7" i="4" s="1"/>
  <c r="K6" i="4"/>
  <c r="K7" i="4" s="1"/>
  <c r="J6" i="4"/>
  <c r="J7" i="4" s="1"/>
  <c r="I6" i="4"/>
  <c r="I7" i="4" s="1"/>
  <c r="H6" i="4"/>
  <c r="H7" i="4" s="1"/>
  <c r="G6" i="4"/>
  <c r="G7" i="4" s="1"/>
  <c r="F6" i="4"/>
  <c r="E6" i="4"/>
  <c r="E7" i="4" s="1"/>
  <c r="E23" i="4" s="1"/>
  <c r="E9" i="8" s="1"/>
  <c r="D6" i="4"/>
  <c r="D7" i="4" s="1"/>
  <c r="D23" i="4" s="1"/>
  <c r="D9" i="8" s="1"/>
  <c r="C6" i="4"/>
  <c r="M5" i="4"/>
  <c r="M8" i="4" s="1"/>
  <c r="M9" i="4" s="1"/>
  <c r="L5" i="4"/>
  <c r="L8" i="4" s="1"/>
  <c r="K5" i="4"/>
  <c r="J5" i="4"/>
  <c r="J8" i="4" s="1"/>
  <c r="I5" i="4"/>
  <c r="I8" i="4" s="1"/>
  <c r="I18" i="4" s="1"/>
  <c r="H5" i="4"/>
  <c r="H8" i="4" s="1"/>
  <c r="G5" i="4"/>
  <c r="F5" i="4"/>
  <c r="F8" i="4" s="1"/>
  <c r="E5" i="4"/>
  <c r="E8" i="4" s="1"/>
  <c r="D5" i="4"/>
  <c r="D8" i="4" s="1"/>
  <c r="B32" i="3"/>
  <c r="B31" i="3"/>
  <c r="B30" i="3"/>
  <c r="B29" i="3"/>
  <c r="E25" i="3"/>
  <c r="E24" i="3"/>
  <c r="B18" i="3"/>
  <c r="B14" i="3"/>
  <c r="B11" i="3"/>
  <c r="E10" i="3"/>
  <c r="E9" i="3"/>
  <c r="E8" i="3"/>
  <c r="E6" i="3"/>
  <c r="B99" i="2"/>
  <c r="B100" i="2" s="1"/>
  <c r="B98" i="2"/>
  <c r="B97" i="2"/>
  <c r="B96" i="2"/>
  <c r="B95" i="2"/>
  <c r="B74" i="2"/>
  <c r="B67" i="2"/>
  <c r="L24" i="4" s="1"/>
  <c r="L10" i="8" s="1"/>
  <c r="B53" i="2"/>
  <c r="E31" i="2"/>
  <c r="E29" i="2"/>
  <c r="E28" i="2"/>
  <c r="E27" i="2"/>
  <c r="F21" i="2"/>
  <c r="B16" i="2"/>
  <c r="E7" i="3" s="1"/>
  <c r="D18" i="4" l="1"/>
  <c r="D19" i="4" s="1"/>
  <c r="D9" i="4"/>
  <c r="H18" i="4"/>
  <c r="H19" i="4" s="1"/>
  <c r="H9" i="4"/>
  <c r="L18" i="4"/>
  <c r="L19" i="4" s="1"/>
  <c r="L9" i="4"/>
  <c r="I7" i="10"/>
  <c r="O13" i="7"/>
  <c r="S13" i="7"/>
  <c r="W13" i="7"/>
  <c r="E9" i="4"/>
  <c r="I19" i="4"/>
  <c r="J7" i="10"/>
  <c r="J8" i="10" s="1"/>
  <c r="T11" i="5"/>
  <c r="M8" i="8"/>
  <c r="M36" i="6"/>
  <c r="M38" i="6" s="1"/>
  <c r="M17" i="7" s="1"/>
  <c r="M50" i="6"/>
  <c r="M52" i="6" s="1"/>
  <c r="M19" i="7" s="1"/>
  <c r="M22" i="6"/>
  <c r="M24" i="6" s="1"/>
  <c r="M15" i="7" s="1"/>
  <c r="M13" i="8"/>
  <c r="M10" i="9" s="1"/>
  <c r="M57" i="6"/>
  <c r="M59" i="6" s="1"/>
  <c r="M20" i="7" s="1"/>
  <c r="M29" i="6"/>
  <c r="M31" i="6" s="1"/>
  <c r="M16" i="7" s="1"/>
  <c r="M8" i="6"/>
  <c r="M10" i="6" s="1"/>
  <c r="M24" i="5"/>
  <c r="M25" i="5" s="1"/>
  <c r="M27" i="5" s="1"/>
  <c r="M8" i="7" s="1"/>
  <c r="M43" i="6"/>
  <c r="M45" i="6" s="1"/>
  <c r="M18" i="7" s="1"/>
  <c r="M15" i="6"/>
  <c r="M17" i="6" s="1"/>
  <c r="M14" i="7" s="1"/>
  <c r="M16" i="5"/>
  <c r="M17" i="5" s="1"/>
  <c r="M19" i="5" s="1"/>
  <c r="M7" i="7" s="1"/>
  <c r="M32" i="5"/>
  <c r="M33" i="5" s="1"/>
  <c r="M35" i="5" s="1"/>
  <c r="M9" i="7" s="1"/>
  <c r="M12" i="4"/>
  <c r="M8" i="5"/>
  <c r="M9" i="5" s="1"/>
  <c r="M11" i="5" s="1"/>
  <c r="C35" i="5"/>
  <c r="F10" i="15"/>
  <c r="F18" i="14"/>
  <c r="L14" i="10"/>
  <c r="H14" i="10"/>
  <c r="K14" i="10"/>
  <c r="G14" i="10"/>
  <c r="J14" i="10"/>
  <c r="B14" i="10"/>
  <c r="M14" i="10"/>
  <c r="I14" i="10"/>
  <c r="F19" i="9"/>
  <c r="T19" i="5"/>
  <c r="T7" i="7" s="1"/>
  <c r="V27" i="5"/>
  <c r="V8" i="7" s="1"/>
  <c r="U35" i="5"/>
  <c r="U9" i="7" s="1"/>
  <c r="N10" i="6"/>
  <c r="C31" i="6"/>
  <c r="N52" i="6"/>
  <c r="N19" i="7" s="1"/>
  <c r="J19" i="4"/>
  <c r="G9" i="4"/>
  <c r="G18" i="4"/>
  <c r="G19" i="4" s="1"/>
  <c r="I9" i="4"/>
  <c r="W59" i="6"/>
  <c r="W20" i="7" s="1"/>
  <c r="E18" i="4"/>
  <c r="E19" i="4" s="1"/>
  <c r="X19" i="4" s="1"/>
  <c r="M18" i="4"/>
  <c r="M19" i="4" s="1"/>
  <c r="M7" i="8" s="1"/>
  <c r="U8" i="5"/>
  <c r="U9" i="5" s="1"/>
  <c r="U11" i="5" s="1"/>
  <c r="O19" i="5"/>
  <c r="O7" i="7" s="1"/>
  <c r="W19" i="5"/>
  <c r="W7" i="7" s="1"/>
  <c r="R10" i="6"/>
  <c r="S31" i="6"/>
  <c r="S16" i="7" s="1"/>
  <c r="O59" i="6"/>
  <c r="O20" i="7" s="1"/>
  <c r="C25" i="14"/>
  <c r="X25" i="14" s="1"/>
  <c r="C22" i="12"/>
  <c r="B15" i="3"/>
  <c r="P12" i="19"/>
  <c r="Q22" i="16"/>
  <c r="Q15" i="16"/>
  <c r="Q21" i="16"/>
  <c r="Q16" i="16"/>
  <c r="Q34" i="7"/>
  <c r="Q29" i="16" s="1"/>
  <c r="Q36" i="7"/>
  <c r="Q30" i="16" s="1"/>
  <c r="Q35" i="7"/>
  <c r="F23" i="2"/>
  <c r="F22" i="2"/>
  <c r="S12" i="19"/>
  <c r="T21" i="16"/>
  <c r="T16" i="16"/>
  <c r="T15" i="16"/>
  <c r="T22" i="16"/>
  <c r="T35" i="7"/>
  <c r="T34" i="7"/>
  <c r="T29" i="16" s="1"/>
  <c r="T36" i="7"/>
  <c r="T30" i="16" s="1"/>
  <c r="F14" i="4"/>
  <c r="B101" i="2"/>
  <c r="B33" i="3"/>
  <c r="F9" i="4"/>
  <c r="J9" i="4"/>
  <c r="G7" i="10"/>
  <c r="K7" i="10"/>
  <c r="P57" i="6"/>
  <c r="P59" i="6" s="1"/>
  <c r="P20" i="7" s="1"/>
  <c r="P29" i="6"/>
  <c r="P31" i="6" s="1"/>
  <c r="P16" i="7" s="1"/>
  <c r="P13" i="8"/>
  <c r="P10" i="9" s="1"/>
  <c r="P8" i="8"/>
  <c r="P43" i="6"/>
  <c r="P45" i="6" s="1"/>
  <c r="P18" i="7" s="1"/>
  <c r="P7" i="8"/>
  <c r="P50" i="6"/>
  <c r="P52" i="6" s="1"/>
  <c r="P19" i="7" s="1"/>
  <c r="P22" i="6"/>
  <c r="P24" i="6" s="1"/>
  <c r="P15" i="7" s="1"/>
  <c r="P32" i="5"/>
  <c r="P33" i="5" s="1"/>
  <c r="P35" i="5" s="1"/>
  <c r="P9" i="7" s="1"/>
  <c r="P8" i="6"/>
  <c r="P10" i="6" s="1"/>
  <c r="P24" i="5"/>
  <c r="P25" i="5" s="1"/>
  <c r="P27" i="5" s="1"/>
  <c r="P8" i="7" s="1"/>
  <c r="T57" i="6"/>
  <c r="T59" i="6" s="1"/>
  <c r="T20" i="7" s="1"/>
  <c r="T29" i="6"/>
  <c r="T31" i="6" s="1"/>
  <c r="T16" i="7" s="1"/>
  <c r="T8" i="8"/>
  <c r="T13" i="8"/>
  <c r="T10" i="9" s="1"/>
  <c r="T43" i="6"/>
  <c r="T45" i="6" s="1"/>
  <c r="T18" i="7" s="1"/>
  <c r="T7" i="8"/>
  <c r="T50" i="6"/>
  <c r="T52" i="6" s="1"/>
  <c r="T19" i="7" s="1"/>
  <c r="T22" i="6"/>
  <c r="T24" i="6" s="1"/>
  <c r="T15" i="7" s="1"/>
  <c r="T32" i="5"/>
  <c r="T33" i="5" s="1"/>
  <c r="T35" i="5" s="1"/>
  <c r="T9" i="7" s="1"/>
  <c r="T15" i="6"/>
  <c r="T17" i="6" s="1"/>
  <c r="T14" i="7" s="1"/>
  <c r="T8" i="6"/>
  <c r="T10" i="6" s="1"/>
  <c r="T24" i="5"/>
  <c r="T25" i="5" s="1"/>
  <c r="T27" i="5" s="1"/>
  <c r="T8" i="7" s="1"/>
  <c r="T36" i="6"/>
  <c r="T38" i="6" s="1"/>
  <c r="T17" i="7" s="1"/>
  <c r="U12" i="4"/>
  <c r="F18" i="4"/>
  <c r="F19" i="4" s="1"/>
  <c r="P8" i="5"/>
  <c r="P9" i="5" s="1"/>
  <c r="P11" i="5" s="1"/>
  <c r="P16" i="5"/>
  <c r="P17" i="5" s="1"/>
  <c r="P19" i="5" s="1"/>
  <c r="P7" i="7" s="1"/>
  <c r="N27" i="5"/>
  <c r="N8" i="7" s="1"/>
  <c r="N35" i="5"/>
  <c r="N9" i="7" s="1"/>
  <c r="R35" i="5"/>
  <c r="R9" i="7" s="1"/>
  <c r="V35" i="5"/>
  <c r="V9" i="7" s="1"/>
  <c r="V10" i="6"/>
  <c r="C10" i="6"/>
  <c r="C17" i="6"/>
  <c r="P36" i="6"/>
  <c r="P38" i="6" s="1"/>
  <c r="P17" i="7" s="1"/>
  <c r="H7" i="10"/>
  <c r="L7" i="10"/>
  <c r="K9" i="4"/>
  <c r="K18" i="4"/>
  <c r="K19" i="4" s="1"/>
  <c r="Q13" i="8"/>
  <c r="Q10" i="9" s="1"/>
  <c r="Q8" i="8"/>
  <c r="Q36" i="6"/>
  <c r="Q38" i="6" s="1"/>
  <c r="Q17" i="7" s="1"/>
  <c r="Q7" i="8"/>
  <c r="Q50" i="6"/>
  <c r="Q52" i="6" s="1"/>
  <c r="Q19" i="7" s="1"/>
  <c r="Q22" i="6"/>
  <c r="Q24" i="6" s="1"/>
  <c r="Q15" i="7" s="1"/>
  <c r="Q57" i="6"/>
  <c r="Q59" i="6" s="1"/>
  <c r="Q20" i="7" s="1"/>
  <c r="Q29" i="6"/>
  <c r="Q31" i="6" s="1"/>
  <c r="Q16" i="7" s="1"/>
  <c r="Q43" i="6"/>
  <c r="Q45" i="6" s="1"/>
  <c r="Q18" i="7" s="1"/>
  <c r="Q8" i="6"/>
  <c r="Q10" i="6" s="1"/>
  <c r="Q24" i="5"/>
  <c r="Q25" i="5" s="1"/>
  <c r="Q27" i="5" s="1"/>
  <c r="Q8" i="7" s="1"/>
  <c r="Q16" i="5"/>
  <c r="Q17" i="5" s="1"/>
  <c r="Q19" i="5" s="1"/>
  <c r="Q7" i="7" s="1"/>
  <c r="Q15" i="6"/>
  <c r="Q17" i="6" s="1"/>
  <c r="Q14" i="7" s="1"/>
  <c r="U8" i="8"/>
  <c r="U36" i="6"/>
  <c r="U38" i="6" s="1"/>
  <c r="U17" i="7" s="1"/>
  <c r="U13" i="8"/>
  <c r="U10" i="9" s="1"/>
  <c r="U7" i="8"/>
  <c r="U50" i="6"/>
  <c r="U52" i="6" s="1"/>
  <c r="U19" i="7" s="1"/>
  <c r="U22" i="6"/>
  <c r="U24" i="6" s="1"/>
  <c r="U15" i="7" s="1"/>
  <c r="U57" i="6"/>
  <c r="U59" i="6" s="1"/>
  <c r="U20" i="7" s="1"/>
  <c r="U29" i="6"/>
  <c r="U31" i="6" s="1"/>
  <c r="U16" i="7" s="1"/>
  <c r="U15" i="6"/>
  <c r="U17" i="6" s="1"/>
  <c r="U14" i="7" s="1"/>
  <c r="U8" i="6"/>
  <c r="U10" i="6" s="1"/>
  <c r="U24" i="5"/>
  <c r="U25" i="5" s="1"/>
  <c r="U27" i="5" s="1"/>
  <c r="U8" i="7" s="1"/>
  <c r="U16" i="5"/>
  <c r="U17" i="5" s="1"/>
  <c r="U19" i="5" s="1"/>
  <c r="U7" i="7" s="1"/>
  <c r="O12" i="19"/>
  <c r="P21" i="16"/>
  <c r="P16" i="16"/>
  <c r="P15" i="16"/>
  <c r="P22" i="16"/>
  <c r="P35" i="7"/>
  <c r="P34" i="7"/>
  <c r="P29" i="16" s="1"/>
  <c r="P36" i="7"/>
  <c r="P30" i="16" s="1"/>
  <c r="F23" i="4"/>
  <c r="F9" i="8" s="1"/>
  <c r="Q8" i="5"/>
  <c r="Q9" i="5" s="1"/>
  <c r="Q11" i="5" s="1"/>
  <c r="C19" i="5"/>
  <c r="S19" i="5"/>
  <c r="S7" i="7" s="1"/>
  <c r="C25" i="5"/>
  <c r="O27" i="5"/>
  <c r="O8" i="7" s="1"/>
  <c r="S27" i="5"/>
  <c r="S8" i="7" s="1"/>
  <c r="W27" i="5"/>
  <c r="W8" i="7" s="1"/>
  <c r="R27" i="5"/>
  <c r="R8" i="7" s="1"/>
  <c r="Q32" i="5"/>
  <c r="Q33" i="5" s="1"/>
  <c r="Q35" i="5" s="1"/>
  <c r="Q9" i="7" s="1"/>
  <c r="R24" i="6"/>
  <c r="R15" i="7" s="1"/>
  <c r="V24" i="6"/>
  <c r="V15" i="7" s="1"/>
  <c r="W31" i="6"/>
  <c r="W16" i="7" s="1"/>
  <c r="R52" i="6"/>
  <c r="R19" i="7" s="1"/>
  <c r="C59" i="6"/>
  <c r="S59" i="6"/>
  <c r="S20" i="7" s="1"/>
  <c r="M36" i="10"/>
  <c r="C5" i="10"/>
  <c r="C8" i="10" s="1"/>
  <c r="N43" i="6"/>
  <c r="N45" i="6" s="1"/>
  <c r="N18" i="7" s="1"/>
  <c r="N15" i="6"/>
  <c r="N17" i="6" s="1"/>
  <c r="N14" i="7" s="1"/>
  <c r="N7" i="8"/>
  <c r="N13" i="8"/>
  <c r="N10" i="9" s="1"/>
  <c r="N57" i="6"/>
  <c r="N59" i="6" s="1"/>
  <c r="N20" i="7" s="1"/>
  <c r="N29" i="6"/>
  <c r="N31" i="6" s="1"/>
  <c r="N16" i="7" s="1"/>
  <c r="N8" i="8"/>
  <c r="N36" i="6"/>
  <c r="N38" i="6" s="1"/>
  <c r="N17" i="7" s="1"/>
  <c r="R43" i="6"/>
  <c r="R45" i="6" s="1"/>
  <c r="R18" i="7" s="1"/>
  <c r="R15" i="6"/>
  <c r="R17" i="6" s="1"/>
  <c r="R14" i="7" s="1"/>
  <c r="R7" i="8"/>
  <c r="R57" i="6"/>
  <c r="R59" i="6" s="1"/>
  <c r="R20" i="7" s="1"/>
  <c r="R29" i="6"/>
  <c r="R31" i="6" s="1"/>
  <c r="R16" i="7" s="1"/>
  <c r="R13" i="8"/>
  <c r="R10" i="9" s="1"/>
  <c r="R8" i="8"/>
  <c r="R36" i="6"/>
  <c r="R38" i="6" s="1"/>
  <c r="R17" i="7" s="1"/>
  <c r="V13" i="8"/>
  <c r="V10" i="9" s="1"/>
  <c r="V43" i="6"/>
  <c r="V45" i="6" s="1"/>
  <c r="V18" i="7" s="1"/>
  <c r="V15" i="6"/>
  <c r="V17" i="6" s="1"/>
  <c r="V14" i="7" s="1"/>
  <c r="V7" i="8"/>
  <c r="V57" i="6"/>
  <c r="V59" i="6" s="1"/>
  <c r="V20" i="7" s="1"/>
  <c r="V29" i="6"/>
  <c r="V31" i="6" s="1"/>
  <c r="V16" i="7" s="1"/>
  <c r="V8" i="8"/>
  <c r="V36" i="6"/>
  <c r="V38" i="6" s="1"/>
  <c r="V17" i="7" s="1"/>
  <c r="N12" i="4"/>
  <c r="R12" i="4"/>
  <c r="V12" i="4"/>
  <c r="G24" i="4"/>
  <c r="G10" i="8" s="1"/>
  <c r="K24" i="4"/>
  <c r="K10" i="8" s="1"/>
  <c r="N8" i="5"/>
  <c r="N9" i="5" s="1"/>
  <c r="N11" i="5" s="1"/>
  <c r="R8" i="5"/>
  <c r="R9" i="5" s="1"/>
  <c r="R11" i="5" s="1"/>
  <c r="V8" i="5"/>
  <c r="V9" i="5" s="1"/>
  <c r="V11" i="5" s="1"/>
  <c r="W32" i="5"/>
  <c r="W33" i="5" s="1"/>
  <c r="W35" i="5" s="1"/>
  <c r="W9" i="7" s="1"/>
  <c r="V50" i="6"/>
  <c r="V52" i="6" s="1"/>
  <c r="V19" i="7" s="1"/>
  <c r="C13" i="8"/>
  <c r="C7" i="8"/>
  <c r="C50" i="6"/>
  <c r="C22" i="6"/>
  <c r="C8" i="8"/>
  <c r="C36" i="6"/>
  <c r="C43" i="6"/>
  <c r="O13" i="8"/>
  <c r="O10" i="9" s="1"/>
  <c r="O7" i="8"/>
  <c r="O50" i="6"/>
  <c r="O52" i="6" s="1"/>
  <c r="O19" i="7" s="1"/>
  <c r="O22" i="6"/>
  <c r="O24" i="6" s="1"/>
  <c r="O15" i="7" s="1"/>
  <c r="O8" i="8"/>
  <c r="O36" i="6"/>
  <c r="O38" i="6" s="1"/>
  <c r="O17" i="7" s="1"/>
  <c r="O43" i="6"/>
  <c r="O45" i="6" s="1"/>
  <c r="O18" i="7" s="1"/>
  <c r="S13" i="8"/>
  <c r="S10" i="9" s="1"/>
  <c r="S7" i="8"/>
  <c r="S50" i="6"/>
  <c r="S52" i="6" s="1"/>
  <c r="S19" i="7" s="1"/>
  <c r="S22" i="6"/>
  <c r="S24" i="6" s="1"/>
  <c r="S15" i="7" s="1"/>
  <c r="S8" i="8"/>
  <c r="S36" i="6"/>
  <c r="S38" i="6" s="1"/>
  <c r="S17" i="7" s="1"/>
  <c r="S43" i="6"/>
  <c r="S45" i="6" s="1"/>
  <c r="S18" i="7" s="1"/>
  <c r="S15" i="6"/>
  <c r="S17" i="6" s="1"/>
  <c r="S14" i="7" s="1"/>
  <c r="W13" i="8"/>
  <c r="W10" i="9" s="1"/>
  <c r="W7" i="8"/>
  <c r="W50" i="6"/>
  <c r="W52" i="6" s="1"/>
  <c r="W19" i="7" s="1"/>
  <c r="W22" i="6"/>
  <c r="W24" i="6" s="1"/>
  <c r="W15" i="7" s="1"/>
  <c r="W8" i="8"/>
  <c r="W36" i="6"/>
  <c r="W38" i="6" s="1"/>
  <c r="W17" i="7" s="1"/>
  <c r="W43" i="6"/>
  <c r="W45" i="6" s="1"/>
  <c r="W18" i="7" s="1"/>
  <c r="W15" i="6"/>
  <c r="W17" i="6" s="1"/>
  <c r="W14" i="7" s="1"/>
  <c r="C12" i="4"/>
  <c r="O12" i="4"/>
  <c r="S12" i="4"/>
  <c r="W12" i="4"/>
  <c r="D24" i="4"/>
  <c r="H24" i="4"/>
  <c r="H10" i="8" s="1"/>
  <c r="C8" i="5"/>
  <c r="O8" i="5"/>
  <c r="O9" i="5" s="1"/>
  <c r="O11" i="5" s="1"/>
  <c r="S8" i="5"/>
  <c r="S9" i="5" s="1"/>
  <c r="S11" i="5" s="1"/>
  <c r="W8" i="5"/>
  <c r="W9" i="5" s="1"/>
  <c r="W11" i="5" s="1"/>
  <c r="N16" i="5"/>
  <c r="N17" i="5" s="1"/>
  <c r="N19" i="5" s="1"/>
  <c r="N7" i="7" s="1"/>
  <c r="R16" i="5"/>
  <c r="R17" i="5" s="1"/>
  <c r="R19" i="5" s="1"/>
  <c r="R7" i="7" s="1"/>
  <c r="V16" i="5"/>
  <c r="V17" i="5" s="1"/>
  <c r="V19" i="5" s="1"/>
  <c r="V7" i="7" s="1"/>
  <c r="O15" i="6"/>
  <c r="O17" i="6" s="1"/>
  <c r="O14" i="7" s="1"/>
  <c r="N22" i="6"/>
  <c r="N24" i="6" s="1"/>
  <c r="N15" i="7" s="1"/>
  <c r="O29" i="6"/>
  <c r="O31" i="6" s="1"/>
  <c r="O16" i="7" s="1"/>
  <c r="C8" i="14"/>
  <c r="G8" i="10"/>
  <c r="K8" i="10"/>
  <c r="O10" i="15"/>
  <c r="O18" i="14"/>
  <c r="B23" i="10"/>
  <c r="O19" i="9"/>
  <c r="S18" i="14"/>
  <c r="S10" i="15"/>
  <c r="B27" i="10"/>
  <c r="S19" i="9"/>
  <c r="W10" i="15"/>
  <c r="W18" i="14"/>
  <c r="B31" i="10"/>
  <c r="W19" i="9"/>
  <c r="C8" i="15"/>
  <c r="C6" i="14"/>
  <c r="C12" i="9"/>
  <c r="C33" i="9"/>
  <c r="N8" i="15"/>
  <c r="N6" i="14"/>
  <c r="N12" i="9"/>
  <c r="N18" i="9" s="1"/>
  <c r="R8" i="15"/>
  <c r="R6" i="14"/>
  <c r="R12" i="9"/>
  <c r="R18" i="9" s="1"/>
  <c r="V8" i="15"/>
  <c r="V6" i="14"/>
  <c r="V12" i="9"/>
  <c r="V18" i="9" s="1"/>
  <c r="C24" i="14"/>
  <c r="C13" i="9"/>
  <c r="D18" i="14"/>
  <c r="D10" i="15"/>
  <c r="M12" i="10"/>
  <c r="I12" i="10"/>
  <c r="E12" i="10"/>
  <c r="L12" i="10"/>
  <c r="H12" i="10"/>
  <c r="B12" i="10"/>
  <c r="D19" i="9"/>
  <c r="K12" i="10"/>
  <c r="G12" i="10"/>
  <c r="J12" i="10"/>
  <c r="F12" i="10"/>
  <c r="H8" i="10"/>
  <c r="L8" i="10"/>
  <c r="P10" i="15"/>
  <c r="P18" i="14"/>
  <c r="B24" i="10"/>
  <c r="P19" i="9"/>
  <c r="T18" i="14"/>
  <c r="T10" i="15"/>
  <c r="B28" i="10"/>
  <c r="T19" i="9"/>
  <c r="O6" i="14"/>
  <c r="O8" i="15"/>
  <c r="O12" i="9"/>
  <c r="O18" i="9" s="1"/>
  <c r="S8" i="15"/>
  <c r="S6" i="14"/>
  <c r="S12" i="9"/>
  <c r="S18" i="9" s="1"/>
  <c r="W6" i="14"/>
  <c r="W8" i="15"/>
  <c r="W12" i="9"/>
  <c r="W18" i="9" s="1"/>
  <c r="E10" i="15"/>
  <c r="E18" i="14"/>
  <c r="E20" i="14" s="1"/>
  <c r="L13" i="10"/>
  <c r="H13" i="10"/>
  <c r="E19" i="9"/>
  <c r="K13" i="10"/>
  <c r="G13" i="10"/>
  <c r="J13" i="10"/>
  <c r="F13" i="10"/>
  <c r="M13" i="10"/>
  <c r="I13" i="10"/>
  <c r="B13" i="10"/>
  <c r="I8" i="10"/>
  <c r="M8" i="10"/>
  <c r="Q10" i="15"/>
  <c r="Q18" i="14"/>
  <c r="Q20" i="14" s="1"/>
  <c r="Q19" i="9"/>
  <c r="B25" i="10"/>
  <c r="U10" i="15"/>
  <c r="U18" i="14"/>
  <c r="U20" i="14" s="1"/>
  <c r="U19" i="9"/>
  <c r="B29" i="10"/>
  <c r="P8" i="15"/>
  <c r="P6" i="14"/>
  <c r="P12" i="9"/>
  <c r="P18" i="9" s="1"/>
  <c r="T8" i="15"/>
  <c r="T6" i="14"/>
  <c r="T12" i="9"/>
  <c r="T18" i="9" s="1"/>
  <c r="N10" i="15"/>
  <c r="N18" i="14"/>
  <c r="R10" i="15"/>
  <c r="R18" i="14"/>
  <c r="V10" i="15"/>
  <c r="V18" i="14"/>
  <c r="N23" i="14"/>
  <c r="M17" i="12"/>
  <c r="M36" i="13"/>
  <c r="R23" i="14"/>
  <c r="Q17" i="12"/>
  <c r="Q36" i="13"/>
  <c r="V23" i="14"/>
  <c r="U17" i="12"/>
  <c r="U36" i="13"/>
  <c r="B22" i="10"/>
  <c r="B26" i="10"/>
  <c r="B30" i="10"/>
  <c r="D16" i="11"/>
  <c r="D23" i="14"/>
  <c r="C36" i="13"/>
  <c r="O23" i="14"/>
  <c r="N36" i="13"/>
  <c r="N17" i="12"/>
  <c r="S23" i="14"/>
  <c r="R36" i="13"/>
  <c r="R17" i="12"/>
  <c r="W23" i="14"/>
  <c r="V36" i="13"/>
  <c r="V17" i="12"/>
  <c r="E14" i="11"/>
  <c r="E20" i="9" s="1"/>
  <c r="X20" i="9" s="1"/>
  <c r="I14" i="11"/>
  <c r="I20" i="9" s="1"/>
  <c r="M14" i="11"/>
  <c r="M20" i="9" s="1"/>
  <c r="L23" i="14"/>
  <c r="K36" i="13"/>
  <c r="P23" i="14"/>
  <c r="O36" i="13"/>
  <c r="T23" i="14"/>
  <c r="S36" i="13"/>
  <c r="Q8" i="15"/>
  <c r="Q6" i="14"/>
  <c r="U8" i="15"/>
  <c r="U6" i="14"/>
  <c r="X17" i="14"/>
  <c r="F14" i="11"/>
  <c r="F20" i="9" s="1"/>
  <c r="J14" i="11"/>
  <c r="J20" i="9" s="1"/>
  <c r="M23" i="14"/>
  <c r="L36" i="13"/>
  <c r="Q23" i="14"/>
  <c r="P36" i="13"/>
  <c r="U23" i="14"/>
  <c r="T36" i="13"/>
  <c r="M30" i="13"/>
  <c r="M16" i="15" s="1"/>
  <c r="Q30" i="13"/>
  <c r="Q16" i="15" s="1"/>
  <c r="U30" i="13"/>
  <c r="U16" i="15" s="1"/>
  <c r="O20" i="14"/>
  <c r="S20" i="14"/>
  <c r="W20" i="14"/>
  <c r="G22" i="14"/>
  <c r="W22" i="14"/>
  <c r="N30" i="13"/>
  <c r="N16" i="15" s="1"/>
  <c r="R30" i="13"/>
  <c r="R16" i="15" s="1"/>
  <c r="V30" i="13"/>
  <c r="V16" i="15" s="1"/>
  <c r="D20" i="14"/>
  <c r="P20" i="14"/>
  <c r="T20" i="14"/>
  <c r="K22" i="14"/>
  <c r="C7" i="16"/>
  <c r="C36" i="14"/>
  <c r="C6" i="16"/>
  <c r="O30" i="13"/>
  <c r="O16" i="15" s="1"/>
  <c r="S30" i="13"/>
  <c r="S16" i="15" s="1"/>
  <c r="D30" i="13"/>
  <c r="D16" i="15" s="1"/>
  <c r="L30" i="13"/>
  <c r="L16" i="15" s="1"/>
  <c r="P30" i="13"/>
  <c r="P16" i="15" s="1"/>
  <c r="T30" i="13"/>
  <c r="T16" i="15" s="1"/>
  <c r="F20" i="14"/>
  <c r="N20" i="14"/>
  <c r="R20" i="14"/>
  <c r="V20" i="14"/>
  <c r="M15" i="12" l="1"/>
  <c r="M7" i="12"/>
  <c r="L18" i="14"/>
  <c r="L20" i="14" s="1"/>
  <c r="L10" i="15"/>
  <c r="M20" i="10"/>
  <c r="B20" i="10"/>
  <c r="L19" i="9"/>
  <c r="C18" i="9"/>
  <c r="S6" i="7"/>
  <c r="S10" i="7" s="1"/>
  <c r="S37" i="5"/>
  <c r="D10" i="12"/>
  <c r="D10" i="8"/>
  <c r="X10" i="8" s="1"/>
  <c r="B12" i="19"/>
  <c r="C15" i="16"/>
  <c r="C22" i="16"/>
  <c r="C21" i="16"/>
  <c r="C16" i="16"/>
  <c r="C36" i="7"/>
  <c r="C30" i="16" s="1"/>
  <c r="C35" i="7"/>
  <c r="C5" i="8"/>
  <c r="C34" i="7"/>
  <c r="C29" i="16" s="1"/>
  <c r="C45" i="6"/>
  <c r="C52" i="6"/>
  <c r="N6" i="7"/>
  <c r="N10" i="7" s="1"/>
  <c r="N37" i="5"/>
  <c r="Q12" i="19"/>
  <c r="R21" i="16"/>
  <c r="R16" i="16"/>
  <c r="R22" i="16"/>
  <c r="R15" i="16"/>
  <c r="R36" i="7"/>
  <c r="R30" i="16" s="1"/>
  <c r="R35" i="7"/>
  <c r="R34" i="7"/>
  <c r="R29" i="16" s="1"/>
  <c r="U15" i="12"/>
  <c r="U7" i="12"/>
  <c r="U8" i="9"/>
  <c r="V13" i="7"/>
  <c r="V21" i="7" s="1"/>
  <c r="V28" i="7" s="1"/>
  <c r="V61" i="6"/>
  <c r="F43" i="6"/>
  <c r="F45" i="6" s="1"/>
  <c r="F18" i="7" s="1"/>
  <c r="F13" i="8"/>
  <c r="F10" i="9" s="1"/>
  <c r="F7" i="8"/>
  <c r="F57" i="6"/>
  <c r="F59" i="6" s="1"/>
  <c r="F20" i="7" s="1"/>
  <c r="F29" i="6"/>
  <c r="F31" i="6" s="1"/>
  <c r="F16" i="7" s="1"/>
  <c r="F8" i="8"/>
  <c r="F36" i="6"/>
  <c r="F38" i="6" s="1"/>
  <c r="F17" i="7" s="1"/>
  <c r="F15" i="6"/>
  <c r="F17" i="6" s="1"/>
  <c r="F14" i="7" s="1"/>
  <c r="F16" i="5"/>
  <c r="F17" i="5" s="1"/>
  <c r="F19" i="5" s="1"/>
  <c r="F7" i="7" s="1"/>
  <c r="F50" i="6"/>
  <c r="F52" i="6" s="1"/>
  <c r="F19" i="7" s="1"/>
  <c r="F8" i="5"/>
  <c r="F9" i="5" s="1"/>
  <c r="F11" i="5" s="1"/>
  <c r="F12" i="4"/>
  <c r="F22" i="6"/>
  <c r="F24" i="6" s="1"/>
  <c r="F15" i="7" s="1"/>
  <c r="F32" i="5"/>
  <c r="F33" i="5" s="1"/>
  <c r="F35" i="5" s="1"/>
  <c r="F9" i="7" s="1"/>
  <c r="F8" i="6"/>
  <c r="F10" i="6" s="1"/>
  <c r="F24" i="5"/>
  <c r="F25" i="5" s="1"/>
  <c r="F27" i="5" s="1"/>
  <c r="F8" i="7" s="1"/>
  <c r="F16" i="4"/>
  <c r="E13" i="19" s="1"/>
  <c r="G14" i="4"/>
  <c r="C13" i="13"/>
  <c r="B17" i="3"/>
  <c r="C16" i="7"/>
  <c r="M13" i="7"/>
  <c r="M21" i="7" s="1"/>
  <c r="M28" i="7" s="1"/>
  <c r="M61" i="6"/>
  <c r="S61" i="6"/>
  <c r="H57" i="6"/>
  <c r="H59" i="6" s="1"/>
  <c r="H20" i="7" s="1"/>
  <c r="H29" i="6"/>
  <c r="H31" i="6" s="1"/>
  <c r="H16" i="7" s="1"/>
  <c r="H8" i="8"/>
  <c r="H43" i="6"/>
  <c r="H45" i="6" s="1"/>
  <c r="H18" i="7" s="1"/>
  <c r="H13" i="8"/>
  <c r="H10" i="9" s="1"/>
  <c r="H7" i="8"/>
  <c r="H50" i="6"/>
  <c r="H52" i="6" s="1"/>
  <c r="H19" i="7" s="1"/>
  <c r="H22" i="6"/>
  <c r="H24" i="6" s="1"/>
  <c r="H15" i="7" s="1"/>
  <c r="H32" i="5"/>
  <c r="H33" i="5" s="1"/>
  <c r="H35" i="5" s="1"/>
  <c r="H9" i="7" s="1"/>
  <c r="H36" i="6"/>
  <c r="H38" i="6" s="1"/>
  <c r="H17" i="7" s="1"/>
  <c r="H8" i="6"/>
  <c r="H10" i="6" s="1"/>
  <c r="H24" i="5"/>
  <c r="H25" i="5" s="1"/>
  <c r="H27" i="5" s="1"/>
  <c r="H8" i="7" s="1"/>
  <c r="H15" i="6"/>
  <c r="H17" i="6" s="1"/>
  <c r="H14" i="7" s="1"/>
  <c r="H12" i="4"/>
  <c r="H16" i="5"/>
  <c r="H17" i="5" s="1"/>
  <c r="H19" i="5" s="1"/>
  <c r="H7" i="7" s="1"/>
  <c r="H8" i="5"/>
  <c r="H9" i="5" s="1"/>
  <c r="H11" i="5" s="1"/>
  <c r="X14" i="11"/>
  <c r="M10" i="15"/>
  <c r="M18" i="14"/>
  <c r="M19" i="9"/>
  <c r="B21" i="10"/>
  <c r="H10" i="15"/>
  <c r="H18" i="14"/>
  <c r="H20" i="14" s="1"/>
  <c r="K16" i="10"/>
  <c r="J16" i="10"/>
  <c r="H19" i="9"/>
  <c r="M16" i="10"/>
  <c r="I16" i="10"/>
  <c r="L16" i="10"/>
  <c r="B16" i="10"/>
  <c r="K18" i="14"/>
  <c r="K20" i="14" s="1"/>
  <c r="K10" i="15"/>
  <c r="B19" i="10"/>
  <c r="M19" i="10"/>
  <c r="K19" i="9"/>
  <c r="L19" i="10"/>
  <c r="O6" i="7"/>
  <c r="O10" i="7" s="1"/>
  <c r="O37" i="5"/>
  <c r="V12" i="19"/>
  <c r="W15" i="16"/>
  <c r="W22" i="16"/>
  <c r="W21" i="16"/>
  <c r="W16" i="16"/>
  <c r="W36" i="7"/>
  <c r="W30" i="16" s="1"/>
  <c r="W35" i="7"/>
  <c r="W34" i="7"/>
  <c r="W29" i="16" s="1"/>
  <c r="C38" i="6"/>
  <c r="C7" i="12"/>
  <c r="C10" i="14" s="1"/>
  <c r="C8" i="9"/>
  <c r="C15" i="12"/>
  <c r="M12" i="19"/>
  <c r="N21" i="16"/>
  <c r="N16" i="16"/>
  <c r="N22" i="16"/>
  <c r="N15" i="16"/>
  <c r="N36" i="7"/>
  <c r="N30" i="16" s="1"/>
  <c r="N35" i="7"/>
  <c r="N34" i="7"/>
  <c r="N29" i="16" s="1"/>
  <c r="C20" i="7"/>
  <c r="C27" i="5"/>
  <c r="Q6" i="7"/>
  <c r="Q10" i="7" s="1"/>
  <c r="Q37" i="5"/>
  <c r="Q15" i="12"/>
  <c r="Q7" i="12"/>
  <c r="Q8" i="9"/>
  <c r="T13" i="7"/>
  <c r="T21" i="7" s="1"/>
  <c r="T28" i="7" s="1"/>
  <c r="T61" i="6"/>
  <c r="P13" i="7"/>
  <c r="P21" i="7" s="1"/>
  <c r="P28" i="7" s="1"/>
  <c r="P61" i="6"/>
  <c r="P15" i="12"/>
  <c r="P7" i="12"/>
  <c r="P10" i="14" s="1"/>
  <c r="P8" i="9"/>
  <c r="G23" i="4"/>
  <c r="G13" i="8"/>
  <c r="G10" i="9" s="1"/>
  <c r="G7" i="8"/>
  <c r="G50" i="6"/>
  <c r="G52" i="6" s="1"/>
  <c r="G19" i="7" s="1"/>
  <c r="G22" i="6"/>
  <c r="G24" i="6" s="1"/>
  <c r="G15" i="7" s="1"/>
  <c r="G8" i="8"/>
  <c r="G36" i="6"/>
  <c r="G38" i="6" s="1"/>
  <c r="G17" i="7" s="1"/>
  <c r="G43" i="6"/>
  <c r="G45" i="6" s="1"/>
  <c r="G18" i="7" s="1"/>
  <c r="G8" i="5"/>
  <c r="G9" i="5" s="1"/>
  <c r="G11" i="5" s="1"/>
  <c r="G12" i="4"/>
  <c r="G57" i="6"/>
  <c r="G59" i="6" s="1"/>
  <c r="G20" i="7" s="1"/>
  <c r="G32" i="5"/>
  <c r="G33" i="5" s="1"/>
  <c r="G35" i="5" s="1"/>
  <c r="G9" i="7" s="1"/>
  <c r="G29" i="6"/>
  <c r="G31" i="6" s="1"/>
  <c r="G16" i="7" s="1"/>
  <c r="G8" i="6"/>
  <c r="G10" i="6" s="1"/>
  <c r="G24" i="5"/>
  <c r="G25" i="5" s="1"/>
  <c r="G27" i="5" s="1"/>
  <c r="G8" i="7" s="1"/>
  <c r="G15" i="6"/>
  <c r="G17" i="6" s="1"/>
  <c r="G14" i="7" s="1"/>
  <c r="G16" i="5"/>
  <c r="G17" i="5" s="1"/>
  <c r="G19" i="5" s="1"/>
  <c r="G7" i="7" s="1"/>
  <c r="M6" i="7"/>
  <c r="M10" i="7" s="1"/>
  <c r="M23" i="7" s="1"/>
  <c r="M37" i="5"/>
  <c r="T37" i="5"/>
  <c r="T6" i="7"/>
  <c r="T10" i="7" s="1"/>
  <c r="T23" i="7" s="1"/>
  <c r="E8" i="8"/>
  <c r="E36" i="6"/>
  <c r="E38" i="6" s="1"/>
  <c r="E17" i="7" s="1"/>
  <c r="E13" i="8"/>
  <c r="E10" i="9" s="1"/>
  <c r="E7" i="8"/>
  <c r="E50" i="6"/>
  <c r="E52" i="6" s="1"/>
  <c r="E19" i="7" s="1"/>
  <c r="E22" i="6"/>
  <c r="E24" i="6" s="1"/>
  <c r="E15" i="7" s="1"/>
  <c r="E57" i="6"/>
  <c r="E59" i="6" s="1"/>
  <c r="E20" i="7" s="1"/>
  <c r="E29" i="6"/>
  <c r="E31" i="6" s="1"/>
  <c r="E16" i="7" s="1"/>
  <c r="E8" i="6"/>
  <c r="E10" i="6" s="1"/>
  <c r="E24" i="5"/>
  <c r="E25" i="5" s="1"/>
  <c r="E27" i="5" s="1"/>
  <c r="E8" i="7" s="1"/>
  <c r="E15" i="6"/>
  <c r="E17" i="6" s="1"/>
  <c r="E14" i="7" s="1"/>
  <c r="E16" i="5"/>
  <c r="E17" i="5" s="1"/>
  <c r="E19" i="5" s="1"/>
  <c r="E7" i="7" s="1"/>
  <c r="E12" i="4"/>
  <c r="E43" i="6"/>
  <c r="E45" i="6" s="1"/>
  <c r="E18" i="7" s="1"/>
  <c r="E8" i="5"/>
  <c r="E9" i="5" s="1"/>
  <c r="E11" i="5" s="1"/>
  <c r="E32" i="5"/>
  <c r="E33" i="5" s="1"/>
  <c r="E35" i="5" s="1"/>
  <c r="E9" i="7" s="1"/>
  <c r="S21" i="7"/>
  <c r="S28" i="7" s="1"/>
  <c r="D11" i="12"/>
  <c r="E16" i="11"/>
  <c r="I10" i="15"/>
  <c r="I18" i="14"/>
  <c r="I20" i="14" s="1"/>
  <c r="J17" i="10"/>
  <c r="I19" i="9"/>
  <c r="M17" i="10"/>
  <c r="B17" i="10"/>
  <c r="L17" i="10"/>
  <c r="K17" i="10"/>
  <c r="G10" i="15"/>
  <c r="G18" i="14"/>
  <c r="G20" i="14" s="1"/>
  <c r="M15" i="10"/>
  <c r="I15" i="10"/>
  <c r="L15" i="10"/>
  <c r="H15" i="10"/>
  <c r="K15" i="10"/>
  <c r="B15" i="10"/>
  <c r="G19" i="9"/>
  <c r="J15" i="10"/>
  <c r="C9" i="5"/>
  <c r="R12" i="19"/>
  <c r="S15" i="16"/>
  <c r="S22" i="16"/>
  <c r="S21" i="16"/>
  <c r="S16" i="16"/>
  <c r="S36" i="7"/>
  <c r="S30" i="16" s="1"/>
  <c r="S35" i="7"/>
  <c r="S34" i="7"/>
  <c r="S29" i="16" s="1"/>
  <c r="O7" i="12"/>
  <c r="O8" i="9"/>
  <c r="O15" i="12"/>
  <c r="C10" i="9"/>
  <c r="V6" i="7"/>
  <c r="V10" i="7" s="1"/>
  <c r="V23" i="7" s="1"/>
  <c r="V37" i="5"/>
  <c r="V15" i="12"/>
  <c r="V7" i="12"/>
  <c r="V10" i="14" s="1"/>
  <c r="V8" i="9"/>
  <c r="C18" i="14"/>
  <c r="C10" i="15"/>
  <c r="K11" i="10"/>
  <c r="G11" i="10"/>
  <c r="G34" i="10" s="1"/>
  <c r="G19" i="8" s="1"/>
  <c r="B11" i="10"/>
  <c r="C34" i="9"/>
  <c r="D34" i="9" s="1"/>
  <c r="E34" i="9" s="1"/>
  <c r="F34" i="9" s="1"/>
  <c r="G34" i="9" s="1"/>
  <c r="H34" i="9" s="1"/>
  <c r="I34" i="9" s="1"/>
  <c r="J34" i="9" s="1"/>
  <c r="K34" i="9" s="1"/>
  <c r="L34" i="9" s="1"/>
  <c r="M34" i="9" s="1"/>
  <c r="N34" i="9" s="1"/>
  <c r="O34" i="9" s="1"/>
  <c r="P34" i="9" s="1"/>
  <c r="Q34" i="9" s="1"/>
  <c r="R34" i="9" s="1"/>
  <c r="S34" i="9" s="1"/>
  <c r="T34" i="9" s="1"/>
  <c r="U34" i="9" s="1"/>
  <c r="V34" i="9" s="1"/>
  <c r="W34" i="9" s="1"/>
  <c r="J11" i="10"/>
  <c r="J34" i="10" s="1"/>
  <c r="J19" i="8" s="1"/>
  <c r="F11" i="10"/>
  <c r="F34" i="10" s="1"/>
  <c r="F19" i="8" s="1"/>
  <c r="X8" i="10"/>
  <c r="E17" i="3" s="1"/>
  <c r="C40" i="10"/>
  <c r="M11" i="10"/>
  <c r="I11" i="10"/>
  <c r="I34" i="10" s="1"/>
  <c r="I19" i="8" s="1"/>
  <c r="E11" i="10"/>
  <c r="E34" i="10" s="1"/>
  <c r="E19" i="8" s="1"/>
  <c r="C19" i="9"/>
  <c r="L11" i="10"/>
  <c r="H11" i="10"/>
  <c r="H34" i="10" s="1"/>
  <c r="H19" i="8" s="1"/>
  <c r="D11" i="10"/>
  <c r="D34" i="10" s="1"/>
  <c r="U13" i="7"/>
  <c r="U21" i="7" s="1"/>
  <c r="U28" i="7" s="1"/>
  <c r="U61" i="6"/>
  <c r="K13" i="8"/>
  <c r="K10" i="9" s="1"/>
  <c r="K7" i="8"/>
  <c r="K50" i="6"/>
  <c r="K52" i="6" s="1"/>
  <c r="K19" i="7" s="1"/>
  <c r="K22" i="6"/>
  <c r="K24" i="6" s="1"/>
  <c r="K15" i="7" s="1"/>
  <c r="K8" i="8"/>
  <c r="K36" i="6"/>
  <c r="K38" i="6" s="1"/>
  <c r="K17" i="7" s="1"/>
  <c r="K43" i="6"/>
  <c r="K45" i="6" s="1"/>
  <c r="K18" i="7" s="1"/>
  <c r="K57" i="6"/>
  <c r="K59" i="6" s="1"/>
  <c r="K20" i="7" s="1"/>
  <c r="K8" i="5"/>
  <c r="K9" i="5" s="1"/>
  <c r="K11" i="5" s="1"/>
  <c r="K12" i="4"/>
  <c r="K29" i="6"/>
  <c r="K31" i="6" s="1"/>
  <c r="K16" i="7" s="1"/>
  <c r="K32" i="5"/>
  <c r="K33" i="5" s="1"/>
  <c r="K35" i="5" s="1"/>
  <c r="K9" i="7" s="1"/>
  <c r="K8" i="6"/>
  <c r="K10" i="6" s="1"/>
  <c r="K24" i="5"/>
  <c r="K25" i="5" s="1"/>
  <c r="K27" i="5" s="1"/>
  <c r="K8" i="7" s="1"/>
  <c r="K16" i="5"/>
  <c r="K17" i="5" s="1"/>
  <c r="K19" i="5" s="1"/>
  <c r="K7" i="7" s="1"/>
  <c r="K15" i="6"/>
  <c r="K17" i="6" s="1"/>
  <c r="K14" i="7" s="1"/>
  <c r="C14" i="7"/>
  <c r="T12" i="19"/>
  <c r="U22" i="16"/>
  <c r="U15" i="16"/>
  <c r="U16" i="16"/>
  <c r="U21" i="16"/>
  <c r="U34" i="7"/>
  <c r="U29" i="16" s="1"/>
  <c r="U36" i="7"/>
  <c r="U30" i="16" s="1"/>
  <c r="U35" i="7"/>
  <c r="T15" i="12"/>
  <c r="T7" i="12"/>
  <c r="T8" i="9"/>
  <c r="B34" i="3"/>
  <c r="B9" i="3"/>
  <c r="E47" i="2"/>
  <c r="N13" i="7"/>
  <c r="N21" i="7" s="1"/>
  <c r="N28" i="7" s="1"/>
  <c r="N61" i="6"/>
  <c r="C9" i="7"/>
  <c r="L12" i="19"/>
  <c r="W61" i="6"/>
  <c r="O61" i="6"/>
  <c r="L13" i="8"/>
  <c r="L10" i="9" s="1"/>
  <c r="L57" i="6"/>
  <c r="L59" i="6" s="1"/>
  <c r="L20" i="7" s="1"/>
  <c r="L29" i="6"/>
  <c r="L31" i="6" s="1"/>
  <c r="L16" i="7" s="1"/>
  <c r="L8" i="8"/>
  <c r="L43" i="6"/>
  <c r="L45" i="6" s="1"/>
  <c r="L18" i="7" s="1"/>
  <c r="L7" i="8"/>
  <c r="L50" i="6"/>
  <c r="L52" i="6" s="1"/>
  <c r="L19" i="7" s="1"/>
  <c r="L22" i="6"/>
  <c r="L24" i="6" s="1"/>
  <c r="L15" i="7" s="1"/>
  <c r="L36" i="6"/>
  <c r="L38" i="6" s="1"/>
  <c r="L17" i="7" s="1"/>
  <c r="L32" i="5"/>
  <c r="L33" i="5" s="1"/>
  <c r="L35" i="5" s="1"/>
  <c r="L9" i="7" s="1"/>
  <c r="L8" i="6"/>
  <c r="L10" i="6" s="1"/>
  <c r="L24" i="5"/>
  <c r="L25" i="5" s="1"/>
  <c r="L27" i="5" s="1"/>
  <c r="L8" i="7" s="1"/>
  <c r="L15" i="6"/>
  <c r="L17" i="6" s="1"/>
  <c r="L14" i="7" s="1"/>
  <c r="L12" i="4"/>
  <c r="L16" i="5"/>
  <c r="L17" i="5" s="1"/>
  <c r="L19" i="5" s="1"/>
  <c r="L7" i="7" s="1"/>
  <c r="L8" i="5"/>
  <c r="L9" i="5" s="1"/>
  <c r="L11" i="5" s="1"/>
  <c r="D57" i="6"/>
  <c r="D29" i="6"/>
  <c r="D8" i="8"/>
  <c r="X8" i="8" s="1"/>
  <c r="D43" i="6"/>
  <c r="D45" i="6" s="1"/>
  <c r="D18" i="7" s="1"/>
  <c r="D13" i="8"/>
  <c r="D10" i="9" s="1"/>
  <c r="D7" i="8"/>
  <c r="D50" i="6"/>
  <c r="D52" i="6" s="1"/>
  <c r="D19" i="7" s="1"/>
  <c r="D22" i="6"/>
  <c r="D24" i="6" s="1"/>
  <c r="D15" i="7" s="1"/>
  <c r="D32" i="5"/>
  <c r="D8" i="6"/>
  <c r="D24" i="5"/>
  <c r="D36" i="6"/>
  <c r="D38" i="6" s="1"/>
  <c r="D17" i="7" s="1"/>
  <c r="D15" i="6"/>
  <c r="X9" i="4"/>
  <c r="D12" i="4"/>
  <c r="X12" i="4" s="1"/>
  <c r="E11" i="3" s="1"/>
  <c r="D16" i="5"/>
  <c r="D8" i="5"/>
  <c r="D9" i="5" s="1"/>
  <c r="D11" i="5" s="1"/>
  <c r="C35" i="9"/>
  <c r="C36" i="9" s="1"/>
  <c r="W6" i="7"/>
  <c r="W10" i="7" s="1"/>
  <c r="W37" i="5"/>
  <c r="N12" i="19"/>
  <c r="O15" i="16"/>
  <c r="O22" i="16"/>
  <c r="O21" i="16"/>
  <c r="O16" i="16"/>
  <c r="O36" i="7"/>
  <c r="O30" i="16" s="1"/>
  <c r="O35" i="7"/>
  <c r="O34" i="7"/>
  <c r="O29" i="16" s="1"/>
  <c r="W7" i="12"/>
  <c r="W10" i="14" s="1"/>
  <c r="W8" i="9"/>
  <c r="W15" i="12"/>
  <c r="S7" i="12"/>
  <c r="S8" i="9"/>
  <c r="S15" i="12"/>
  <c r="C24" i="6"/>
  <c r="R6" i="7"/>
  <c r="R10" i="7" s="1"/>
  <c r="R23" i="7" s="1"/>
  <c r="R37" i="5"/>
  <c r="U12" i="19"/>
  <c r="V21" i="16"/>
  <c r="V16" i="16"/>
  <c r="V22" i="16"/>
  <c r="V15" i="16"/>
  <c r="V36" i="7"/>
  <c r="V30" i="16" s="1"/>
  <c r="V35" i="7"/>
  <c r="V34" i="7"/>
  <c r="V29" i="16" s="1"/>
  <c r="R15" i="12"/>
  <c r="R7" i="12"/>
  <c r="R10" i="14" s="1"/>
  <c r="R8" i="9"/>
  <c r="N15" i="12"/>
  <c r="N7" i="12"/>
  <c r="N10" i="14" s="1"/>
  <c r="N8" i="9"/>
  <c r="M19" i="14"/>
  <c r="X19" i="14" s="1"/>
  <c r="C7" i="7"/>
  <c r="Q13" i="7"/>
  <c r="Q21" i="7" s="1"/>
  <c r="Q28" i="7" s="1"/>
  <c r="Q61" i="6"/>
  <c r="C13" i="7"/>
  <c r="C61" i="6"/>
  <c r="P6" i="7"/>
  <c r="P10" i="7" s="1"/>
  <c r="P23" i="7" s="1"/>
  <c r="P37" i="5"/>
  <c r="J43" i="6"/>
  <c r="J45" i="6" s="1"/>
  <c r="J18" i="7" s="1"/>
  <c r="J13" i="8"/>
  <c r="J10" i="9" s="1"/>
  <c r="J7" i="8"/>
  <c r="J57" i="6"/>
  <c r="J59" i="6" s="1"/>
  <c r="J20" i="7" s="1"/>
  <c r="J29" i="6"/>
  <c r="J31" i="6" s="1"/>
  <c r="J16" i="7" s="1"/>
  <c r="J8" i="8"/>
  <c r="J36" i="6"/>
  <c r="J38" i="6" s="1"/>
  <c r="J17" i="7" s="1"/>
  <c r="J50" i="6"/>
  <c r="J52" i="6" s="1"/>
  <c r="J19" i="7" s="1"/>
  <c r="J15" i="6"/>
  <c r="J17" i="6" s="1"/>
  <c r="J14" i="7" s="1"/>
  <c r="J16" i="5"/>
  <c r="J17" i="5" s="1"/>
  <c r="J19" i="5" s="1"/>
  <c r="J7" i="7" s="1"/>
  <c r="J22" i="6"/>
  <c r="J24" i="6" s="1"/>
  <c r="J15" i="7" s="1"/>
  <c r="J8" i="5"/>
  <c r="J9" i="5" s="1"/>
  <c r="J11" i="5" s="1"/>
  <c r="J12" i="4"/>
  <c r="J32" i="5"/>
  <c r="J33" i="5" s="1"/>
  <c r="J35" i="5" s="1"/>
  <c r="J9" i="7" s="1"/>
  <c r="J8" i="6"/>
  <c r="J10" i="6" s="1"/>
  <c r="J24" i="5"/>
  <c r="J25" i="5" s="1"/>
  <c r="J27" i="5" s="1"/>
  <c r="J8" i="7" s="1"/>
  <c r="C12" i="13"/>
  <c r="B16" i="3"/>
  <c r="D22" i="12"/>
  <c r="R13" i="7"/>
  <c r="R21" i="7" s="1"/>
  <c r="R28" i="7" s="1"/>
  <c r="R61" i="6"/>
  <c r="U6" i="7"/>
  <c r="U10" i="7" s="1"/>
  <c r="U23" i="7" s="1"/>
  <c r="U37" i="5"/>
  <c r="I8" i="8"/>
  <c r="I36" i="6"/>
  <c r="I38" i="6" s="1"/>
  <c r="I17" i="7" s="1"/>
  <c r="I13" i="8"/>
  <c r="I10" i="9" s="1"/>
  <c r="I7" i="8"/>
  <c r="I50" i="6"/>
  <c r="I52" i="6" s="1"/>
  <c r="I19" i="7" s="1"/>
  <c r="I22" i="6"/>
  <c r="I24" i="6" s="1"/>
  <c r="I15" i="7" s="1"/>
  <c r="I57" i="6"/>
  <c r="I59" i="6" s="1"/>
  <c r="I20" i="7" s="1"/>
  <c r="I29" i="6"/>
  <c r="I31" i="6" s="1"/>
  <c r="I16" i="7" s="1"/>
  <c r="I8" i="6"/>
  <c r="I10" i="6" s="1"/>
  <c r="I24" i="5"/>
  <c r="I25" i="5" s="1"/>
  <c r="I27" i="5" s="1"/>
  <c r="I8" i="7" s="1"/>
  <c r="I15" i="6"/>
  <c r="I17" i="6" s="1"/>
  <c r="I14" i="7" s="1"/>
  <c r="I16" i="5"/>
  <c r="I17" i="5" s="1"/>
  <c r="I19" i="5" s="1"/>
  <c r="I7" i="7" s="1"/>
  <c r="I43" i="6"/>
  <c r="I45" i="6" s="1"/>
  <c r="I18" i="7" s="1"/>
  <c r="I8" i="5"/>
  <c r="I9" i="5" s="1"/>
  <c r="I11" i="5" s="1"/>
  <c r="I32" i="5"/>
  <c r="I33" i="5" s="1"/>
  <c r="I35" i="5" s="1"/>
  <c r="I9" i="7" s="1"/>
  <c r="I12" i="4"/>
  <c r="F24" i="2"/>
  <c r="J10" i="15"/>
  <c r="J18" i="14"/>
  <c r="J20" i="14" s="1"/>
  <c r="B18" i="10"/>
  <c r="M18" i="10"/>
  <c r="L18" i="10"/>
  <c r="K18" i="10"/>
  <c r="J19" i="9"/>
  <c r="W21" i="7"/>
  <c r="W28" i="7" s="1"/>
  <c r="O21" i="7"/>
  <c r="O28" i="7" s="1"/>
  <c r="U27" i="7" l="1"/>
  <c r="U26" i="7"/>
  <c r="U29" i="7" s="1"/>
  <c r="U31" i="7" s="1"/>
  <c r="I6" i="7"/>
  <c r="I10" i="7" s="1"/>
  <c r="I23" i="7" s="1"/>
  <c r="I37" i="5"/>
  <c r="I13" i="7"/>
  <c r="I21" i="7" s="1"/>
  <c r="I28" i="7" s="1"/>
  <c r="I61" i="6"/>
  <c r="I12" i="19"/>
  <c r="C15" i="7"/>
  <c r="X15" i="7" s="1"/>
  <c r="X24" i="6"/>
  <c r="W23" i="7"/>
  <c r="D6" i="7"/>
  <c r="D17" i="6"/>
  <c r="X15" i="6"/>
  <c r="D33" i="5"/>
  <c r="X32" i="5"/>
  <c r="D59" i="6"/>
  <c r="X57" i="6"/>
  <c r="J12" i="19"/>
  <c r="K7" i="12"/>
  <c r="K15" i="12"/>
  <c r="D19" i="8"/>
  <c r="E8" i="15"/>
  <c r="E6" i="14"/>
  <c r="E12" i="9"/>
  <c r="E18" i="9" s="1"/>
  <c r="X18" i="14"/>
  <c r="C20" i="14"/>
  <c r="V12" i="14"/>
  <c r="X10" i="9"/>
  <c r="X9" i="5"/>
  <c r="C11" i="5"/>
  <c r="E11" i="12"/>
  <c r="F16" i="11"/>
  <c r="E6" i="7"/>
  <c r="E10" i="7" s="1"/>
  <c r="E37" i="5"/>
  <c r="C12" i="14"/>
  <c r="X36" i="6"/>
  <c r="O23" i="7"/>
  <c r="M20" i="14"/>
  <c r="H14" i="4"/>
  <c r="G16" i="4"/>
  <c r="F13" i="19" s="1"/>
  <c r="X50" i="6"/>
  <c r="J15" i="12"/>
  <c r="J7" i="12"/>
  <c r="C22" i="13"/>
  <c r="K17" i="13"/>
  <c r="K20" i="13" s="1"/>
  <c r="G17" i="13"/>
  <c r="G20" i="13" s="1"/>
  <c r="J17" i="13"/>
  <c r="J20" i="13" s="1"/>
  <c r="F17" i="13"/>
  <c r="F20" i="13" s="1"/>
  <c r="C15" i="13"/>
  <c r="I17" i="13"/>
  <c r="I20" i="13" s="1"/>
  <c r="E17" i="13"/>
  <c r="E20" i="13" s="1"/>
  <c r="H17" i="13"/>
  <c r="H12" i="19"/>
  <c r="I15" i="12"/>
  <c r="I7" i="12"/>
  <c r="E22" i="12"/>
  <c r="J6" i="7"/>
  <c r="J10" i="7" s="1"/>
  <c r="J37" i="5"/>
  <c r="X22" i="6"/>
  <c r="S10" i="14"/>
  <c r="C20" i="12"/>
  <c r="C37" i="9"/>
  <c r="C29" i="8" s="1"/>
  <c r="D17" i="5"/>
  <c r="X16" i="5"/>
  <c r="L6" i="7"/>
  <c r="L10" i="7" s="1"/>
  <c r="L37" i="5"/>
  <c r="T10" i="14"/>
  <c r="K13" i="7"/>
  <c r="K21" i="7" s="1"/>
  <c r="K28" i="7" s="1"/>
  <c r="K61" i="6"/>
  <c r="K6" i="7"/>
  <c r="K10" i="7" s="1"/>
  <c r="K23" i="7" s="1"/>
  <c r="K37" i="5"/>
  <c r="H8" i="15"/>
  <c r="H6" i="14"/>
  <c r="H12" i="9"/>
  <c r="H18" i="9" s="1"/>
  <c r="I8" i="15"/>
  <c r="I6" i="14"/>
  <c r="I12" i="9"/>
  <c r="I18" i="9" s="1"/>
  <c r="F8" i="15"/>
  <c r="F6" i="14"/>
  <c r="F12" i="9"/>
  <c r="F18" i="9" s="1"/>
  <c r="G8" i="15"/>
  <c r="G6" i="14"/>
  <c r="G12" i="9"/>
  <c r="G18" i="9" s="1"/>
  <c r="O10" i="14"/>
  <c r="G7" i="12"/>
  <c r="G15" i="12"/>
  <c r="Q23" i="7"/>
  <c r="C17" i="7"/>
  <c r="X17" i="7" s="1"/>
  <c r="X38" i="6"/>
  <c r="H37" i="5"/>
  <c r="H6" i="7"/>
  <c r="H10" i="7" s="1"/>
  <c r="X43" i="6"/>
  <c r="S23" i="7"/>
  <c r="J13" i="7"/>
  <c r="J21" i="7" s="1"/>
  <c r="J28" i="7" s="1"/>
  <c r="J61" i="6"/>
  <c r="P27" i="7"/>
  <c r="P26" i="7"/>
  <c r="P29" i="7" s="1"/>
  <c r="P31" i="7" s="1"/>
  <c r="R26" i="7"/>
  <c r="R27" i="7"/>
  <c r="S12" i="14"/>
  <c r="W12" i="14"/>
  <c r="C12" i="19"/>
  <c r="D21" i="16"/>
  <c r="D5" i="8"/>
  <c r="D25" i="5"/>
  <c r="X24" i="5"/>
  <c r="L13" i="7"/>
  <c r="L21" i="7" s="1"/>
  <c r="L28" i="7" s="1"/>
  <c r="L61" i="6"/>
  <c r="T12" i="14"/>
  <c r="L34" i="10"/>
  <c r="L19" i="8" s="1"/>
  <c r="M34" i="10"/>
  <c r="M19" i="8" s="1"/>
  <c r="J8" i="15"/>
  <c r="J6" i="14"/>
  <c r="J12" i="9"/>
  <c r="J18" i="9" s="1"/>
  <c r="K34" i="10"/>
  <c r="K19" i="8" s="1"/>
  <c r="V26" i="7"/>
  <c r="V29" i="7" s="1"/>
  <c r="V31" i="7" s="1"/>
  <c r="V27" i="7"/>
  <c r="O12" i="14"/>
  <c r="D12" i="19"/>
  <c r="E21" i="16"/>
  <c r="E5" i="8"/>
  <c r="E13" i="7"/>
  <c r="E21" i="7" s="1"/>
  <c r="E28" i="7" s="1"/>
  <c r="E61" i="6"/>
  <c r="M27" i="7"/>
  <c r="M31" i="7"/>
  <c r="M26" i="7"/>
  <c r="M29" i="7" s="1"/>
  <c r="G13" i="7"/>
  <c r="G21" i="7" s="1"/>
  <c r="G28" i="7" s="1"/>
  <c r="G61" i="6"/>
  <c r="F12" i="19"/>
  <c r="G5" i="8"/>
  <c r="Q10" i="14"/>
  <c r="H13" i="7"/>
  <c r="H21" i="7" s="1"/>
  <c r="H28" i="7" s="1"/>
  <c r="H61" i="6"/>
  <c r="E12" i="19"/>
  <c r="F5" i="8"/>
  <c r="F21" i="16" s="1"/>
  <c r="U10" i="14"/>
  <c r="N23" i="7"/>
  <c r="C18" i="7"/>
  <c r="X18" i="7" s="1"/>
  <c r="X45" i="6"/>
  <c r="B4" i="19"/>
  <c r="C19" i="16"/>
  <c r="C28" i="16"/>
  <c r="C23" i="16"/>
  <c r="C18" i="8"/>
  <c r="C6" i="12"/>
  <c r="C31" i="8"/>
  <c r="C10" i="16" s="1"/>
  <c r="C16" i="12"/>
  <c r="C13" i="14" s="1"/>
  <c r="C7" i="9"/>
  <c r="C26" i="8"/>
  <c r="C8" i="12"/>
  <c r="C11" i="14" s="1"/>
  <c r="C11" i="8"/>
  <c r="C12" i="8"/>
  <c r="C21" i="8"/>
  <c r="C37" i="7"/>
  <c r="N12" i="14"/>
  <c r="R12" i="14"/>
  <c r="B7" i="18"/>
  <c r="D10" i="6"/>
  <c r="X8" i="6"/>
  <c r="D15" i="12"/>
  <c r="D7" i="12"/>
  <c r="D10" i="14" s="1"/>
  <c r="D8" i="9"/>
  <c r="D31" i="6"/>
  <c r="X29" i="6"/>
  <c r="K12" i="19"/>
  <c r="L15" i="12"/>
  <c r="L7" i="12"/>
  <c r="L10" i="14" s="1"/>
  <c r="X19" i="9"/>
  <c r="C12" i="12"/>
  <c r="D40" i="10"/>
  <c r="X10" i="15"/>
  <c r="X13" i="8"/>
  <c r="B24" i="3" s="1"/>
  <c r="X8" i="5"/>
  <c r="E15" i="12"/>
  <c r="E7" i="12"/>
  <c r="E8" i="9"/>
  <c r="T27" i="7"/>
  <c r="T26" i="7"/>
  <c r="G6" i="7"/>
  <c r="G10" i="7" s="1"/>
  <c r="G23" i="7" s="1"/>
  <c r="G37" i="5"/>
  <c r="G9" i="8"/>
  <c r="H23" i="4"/>
  <c r="P12" i="14"/>
  <c r="Q12" i="14"/>
  <c r="C8" i="7"/>
  <c r="X7" i="8"/>
  <c r="G12" i="19"/>
  <c r="H15" i="12"/>
  <c r="H7" i="12"/>
  <c r="H10" i="14" s="1"/>
  <c r="C23" i="13"/>
  <c r="H18" i="13"/>
  <c r="F13" i="7"/>
  <c r="F21" i="7" s="1"/>
  <c r="F28" i="7" s="1"/>
  <c r="F61" i="6"/>
  <c r="F6" i="7"/>
  <c r="F10" i="7" s="1"/>
  <c r="F23" i="7" s="1"/>
  <c r="F37" i="5"/>
  <c r="F15" i="12"/>
  <c r="F7" i="12"/>
  <c r="F10" i="14" s="1"/>
  <c r="F8" i="9"/>
  <c r="U12" i="14"/>
  <c r="C19" i="7"/>
  <c r="X19" i="7" s="1"/>
  <c r="X52" i="6"/>
  <c r="C13" i="4"/>
  <c r="D13" i="4" s="1"/>
  <c r="E13" i="4" s="1"/>
  <c r="F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D14" i="14"/>
  <c r="E10" i="12"/>
  <c r="U15" i="19" l="1"/>
  <c r="V27" i="16"/>
  <c r="T15" i="19"/>
  <c r="U27" i="16"/>
  <c r="O15" i="19"/>
  <c r="P27" i="16"/>
  <c r="F26" i="7"/>
  <c r="F29" i="7" s="1"/>
  <c r="F31" i="7" s="1"/>
  <c r="F27" i="7"/>
  <c r="H12" i="14"/>
  <c r="F12" i="14"/>
  <c r="T29" i="7"/>
  <c r="T31" i="7" s="1"/>
  <c r="L12" i="14"/>
  <c r="M12" i="14"/>
  <c r="C14" i="16"/>
  <c r="C9" i="15"/>
  <c r="C9" i="14"/>
  <c r="E10" i="14"/>
  <c r="D13" i="7"/>
  <c r="D61" i="6"/>
  <c r="X61" i="6" s="1"/>
  <c r="X10" i="6"/>
  <c r="B62" i="3" s="1"/>
  <c r="C9" i="16"/>
  <c r="N26" i="7"/>
  <c r="N27" i="7"/>
  <c r="F4" i="19"/>
  <c r="G6" i="12"/>
  <c r="G16" i="12"/>
  <c r="G7" i="9"/>
  <c r="G8" i="12"/>
  <c r="G14" i="8"/>
  <c r="G11" i="9" s="1"/>
  <c r="G11" i="8"/>
  <c r="G9" i="9" s="1"/>
  <c r="G12" i="8"/>
  <c r="G14" i="16" s="1"/>
  <c r="G21" i="16"/>
  <c r="D27" i="5"/>
  <c r="X25" i="5"/>
  <c r="G12" i="14"/>
  <c r="C7" i="14"/>
  <c r="J23" i="7"/>
  <c r="H20" i="13"/>
  <c r="F23" i="14"/>
  <c r="E17" i="12"/>
  <c r="E36" i="13"/>
  <c r="F30" i="13"/>
  <c r="F16" i="15" s="1"/>
  <c r="D5" i="13"/>
  <c r="C25" i="13"/>
  <c r="D22" i="13"/>
  <c r="J12" i="14"/>
  <c r="I14" i="4"/>
  <c r="H16" i="4"/>
  <c r="C18" i="12"/>
  <c r="F11" i="12"/>
  <c r="G16" i="11"/>
  <c r="X34" i="10"/>
  <c r="W26" i="7"/>
  <c r="W27" i="7"/>
  <c r="I27" i="7"/>
  <c r="I26" i="7"/>
  <c r="E14" i="14"/>
  <c r="F10" i="12"/>
  <c r="C9" i="9"/>
  <c r="C16" i="8"/>
  <c r="K8" i="15"/>
  <c r="K6" i="14"/>
  <c r="K12" i="9"/>
  <c r="K18" i="9" s="1"/>
  <c r="M8" i="15"/>
  <c r="M6" i="14"/>
  <c r="M12" i="9"/>
  <c r="M18" i="9" s="1"/>
  <c r="G16" i="8"/>
  <c r="G17" i="8" s="1"/>
  <c r="L23" i="7"/>
  <c r="I10" i="14"/>
  <c r="E23" i="14"/>
  <c r="D36" i="13"/>
  <c r="D17" i="12"/>
  <c r="E30" i="13"/>
  <c r="E16" i="15" s="1"/>
  <c r="X20" i="13"/>
  <c r="J23" i="14"/>
  <c r="I17" i="12"/>
  <c r="I36" i="13"/>
  <c r="J30" i="13"/>
  <c r="J16" i="15" s="1"/>
  <c r="D8" i="15"/>
  <c r="D6" i="14"/>
  <c r="D12" i="9"/>
  <c r="X19" i="8"/>
  <c r="D33" i="9"/>
  <c r="K10" i="14"/>
  <c r="D20" i="7"/>
  <c r="X20" i="7" s="1"/>
  <c r="X59" i="6"/>
  <c r="D14" i="7"/>
  <c r="X14" i="7" s="1"/>
  <c r="X17" i="6"/>
  <c r="B63" i="3" s="1"/>
  <c r="D6" i="13"/>
  <c r="D23" i="13"/>
  <c r="D12" i="12"/>
  <c r="E40" i="10"/>
  <c r="G31" i="7"/>
  <c r="G28" i="16" s="1"/>
  <c r="G26" i="7"/>
  <c r="G29" i="7" s="1"/>
  <c r="G27" i="7"/>
  <c r="D16" i="7"/>
  <c r="X16" i="7" s="1"/>
  <c r="X31" i="6"/>
  <c r="B64" i="3" s="1"/>
  <c r="D12" i="14"/>
  <c r="X12" i="14" s="1"/>
  <c r="D4" i="19"/>
  <c r="E16" i="12"/>
  <c r="E7" i="9"/>
  <c r="E8" i="12"/>
  <c r="E6" i="12"/>
  <c r="E12" i="8"/>
  <c r="E14" i="16" s="1"/>
  <c r="E14" i="8"/>
  <c r="E11" i="9" s="1"/>
  <c r="E11" i="8"/>
  <c r="L8" i="15"/>
  <c r="L6" i="14"/>
  <c r="L12" i="9"/>
  <c r="L18" i="9" s="1"/>
  <c r="M10" i="14"/>
  <c r="H23" i="7"/>
  <c r="G8" i="9"/>
  <c r="K31" i="7"/>
  <c r="K26" i="7"/>
  <c r="K29" i="7" s="1"/>
  <c r="K27" i="7"/>
  <c r="C21" i="7"/>
  <c r="C28" i="7" s="1"/>
  <c r="F22" i="12"/>
  <c r="I12" i="14"/>
  <c r="I23" i="14"/>
  <c r="H36" i="13"/>
  <c r="H17" i="12"/>
  <c r="I30" i="13"/>
  <c r="I16" i="15" s="1"/>
  <c r="G23" i="14"/>
  <c r="F36" i="13"/>
  <c r="F17" i="12"/>
  <c r="G30" i="13"/>
  <c r="G16" i="15" s="1"/>
  <c r="O31" i="7"/>
  <c r="O26" i="7"/>
  <c r="O29" i="7" s="1"/>
  <c r="O27" i="7"/>
  <c r="C6" i="7"/>
  <c r="C37" i="5"/>
  <c r="X11" i="5"/>
  <c r="B58" i="3" s="1"/>
  <c r="K12" i="14"/>
  <c r="E12" i="14"/>
  <c r="E18" i="12"/>
  <c r="H9" i="8"/>
  <c r="I23" i="4"/>
  <c r="E4" i="19"/>
  <c r="F8" i="12"/>
  <c r="F11" i="14" s="1"/>
  <c r="F14" i="8"/>
  <c r="F11" i="9" s="1"/>
  <c r="F6" i="12"/>
  <c r="F16" i="12"/>
  <c r="F13" i="14" s="1"/>
  <c r="F7" i="9"/>
  <c r="F12" i="8"/>
  <c r="F14" i="16" s="1"/>
  <c r="L15" i="19"/>
  <c r="M27" i="16"/>
  <c r="M35" i="7"/>
  <c r="M34" i="7"/>
  <c r="M29" i="16" s="1"/>
  <c r="C4" i="19"/>
  <c r="D6" i="12"/>
  <c r="D16" i="12"/>
  <c r="D13" i="14" s="1"/>
  <c r="D7" i="9"/>
  <c r="D8" i="12"/>
  <c r="D11" i="14" s="1"/>
  <c r="D12" i="8"/>
  <c r="D14" i="8"/>
  <c r="R29" i="7"/>
  <c r="R31" i="7" s="1"/>
  <c r="S31" i="7"/>
  <c r="S26" i="7"/>
  <c r="S29" i="7" s="1"/>
  <c r="S27" i="7"/>
  <c r="Q27" i="7"/>
  <c r="Q26" i="7"/>
  <c r="G10" i="14"/>
  <c r="X10" i="14" s="1"/>
  <c r="D19" i="5"/>
  <c r="X17" i="5"/>
  <c r="C22" i="14"/>
  <c r="X15" i="13"/>
  <c r="C30" i="13"/>
  <c r="C16" i="15" s="1"/>
  <c r="K23" i="14"/>
  <c r="J36" i="13"/>
  <c r="J17" i="12"/>
  <c r="K30" i="13"/>
  <c r="K16" i="15" s="1"/>
  <c r="J10" i="14"/>
  <c r="E23" i="7"/>
  <c r="X20" i="14"/>
  <c r="D35" i="5"/>
  <c r="X33" i="5"/>
  <c r="F5" i="19" l="1"/>
  <c r="G20" i="8"/>
  <c r="G18" i="8"/>
  <c r="G9" i="16" s="1"/>
  <c r="E15" i="19"/>
  <c r="F27" i="16"/>
  <c r="F34" i="7"/>
  <c r="F29" i="16" s="1"/>
  <c r="F35" i="7"/>
  <c r="E16" i="19"/>
  <c r="F28" i="16"/>
  <c r="F37" i="7"/>
  <c r="E27" i="7"/>
  <c r="E26" i="7"/>
  <c r="E29" i="7" s="1"/>
  <c r="E31" i="7" s="1"/>
  <c r="X22" i="14"/>
  <c r="C29" i="14"/>
  <c r="Q29" i="7"/>
  <c r="Q31" i="7" s="1"/>
  <c r="F11" i="8"/>
  <c r="F9" i="15"/>
  <c r="F9" i="14"/>
  <c r="I9" i="8"/>
  <c r="J23" i="4"/>
  <c r="G22" i="12"/>
  <c r="E11" i="14"/>
  <c r="D18" i="12"/>
  <c r="E12" i="12"/>
  <c r="F40" i="10"/>
  <c r="D18" i="9"/>
  <c r="X18" i="9" s="1"/>
  <c r="X12" i="9"/>
  <c r="X23" i="14"/>
  <c r="I29" i="7"/>
  <c r="I31" i="7" s="1"/>
  <c r="W29" i="7"/>
  <c r="W31" i="7" s="1"/>
  <c r="W27" i="16" s="1"/>
  <c r="D10" i="13"/>
  <c r="D8" i="7"/>
  <c r="X8" i="7" s="1"/>
  <c r="X27" i="5"/>
  <c r="B60" i="3" s="1"/>
  <c r="G11" i="14"/>
  <c r="S15" i="19"/>
  <c r="T27" i="16"/>
  <c r="D14" i="16"/>
  <c r="H8" i="9"/>
  <c r="N15" i="19"/>
  <c r="O27" i="16"/>
  <c r="J15" i="19"/>
  <c r="K27" i="16"/>
  <c r="K34" i="7"/>
  <c r="K29" i="16" s="1"/>
  <c r="K35" i="7"/>
  <c r="E9" i="9"/>
  <c r="E16" i="8"/>
  <c r="E13" i="14"/>
  <c r="X6" i="14"/>
  <c r="C8" i="16"/>
  <c r="H23" i="14"/>
  <c r="G36" i="13"/>
  <c r="G17" i="12"/>
  <c r="G18" i="12" s="1"/>
  <c r="H30" i="13"/>
  <c r="H16" i="15" s="1"/>
  <c r="G9" i="15"/>
  <c r="G9" i="14"/>
  <c r="N29" i="7"/>
  <c r="N31" i="7" s="1"/>
  <c r="C15" i="9"/>
  <c r="F18" i="12"/>
  <c r="R15" i="19"/>
  <c r="S27" i="16"/>
  <c r="D11" i="9"/>
  <c r="X16" i="15"/>
  <c r="C10" i="7"/>
  <c r="C23" i="7" s="1"/>
  <c r="X6" i="7"/>
  <c r="F15" i="19"/>
  <c r="G27" i="16"/>
  <c r="G34" i="7"/>
  <c r="G29" i="16" s="1"/>
  <c r="G35" i="7"/>
  <c r="E6" i="13"/>
  <c r="E23" i="13"/>
  <c r="D35" i="9"/>
  <c r="D36" i="9" s="1"/>
  <c r="E33" i="9"/>
  <c r="X8" i="15"/>
  <c r="L27" i="7"/>
  <c r="L26" i="7"/>
  <c r="F14" i="14"/>
  <c r="G10" i="12"/>
  <c r="G13" i="19"/>
  <c r="H5" i="8"/>
  <c r="E5" i="13"/>
  <c r="E10" i="13" s="1"/>
  <c r="D25" i="13"/>
  <c r="E22" i="13"/>
  <c r="J26" i="7"/>
  <c r="J29" i="7" s="1"/>
  <c r="J31" i="7" s="1"/>
  <c r="J27" i="7"/>
  <c r="G37" i="7"/>
  <c r="F16" i="19"/>
  <c r="D21" i="7"/>
  <c r="D28" i="7" s="1"/>
  <c r="X28" i="7" s="1"/>
  <c r="X13" i="7"/>
  <c r="X21" i="7" s="1"/>
  <c r="D9" i="7"/>
  <c r="X9" i="7" s="1"/>
  <c r="X35" i="5"/>
  <c r="B61" i="3" s="1"/>
  <c r="D7" i="7"/>
  <c r="X19" i="5"/>
  <c r="B59" i="3" s="1"/>
  <c r="D37" i="5"/>
  <c r="X37" i="5" s="1"/>
  <c r="Q15" i="19"/>
  <c r="R27" i="16"/>
  <c r="D11" i="8"/>
  <c r="D9" i="15"/>
  <c r="D9" i="14"/>
  <c r="H27" i="7"/>
  <c r="H26" i="7"/>
  <c r="E9" i="15"/>
  <c r="E9" i="14"/>
  <c r="G28" i="8"/>
  <c r="G15" i="16"/>
  <c r="G16" i="16" s="1"/>
  <c r="G36" i="7"/>
  <c r="G30" i="16" s="1"/>
  <c r="G22" i="16"/>
  <c r="C28" i="8"/>
  <c r="C17" i="8"/>
  <c r="G11" i="12"/>
  <c r="H16" i="11"/>
  <c r="I16" i="4"/>
  <c r="J14" i="4"/>
  <c r="B9" i="19"/>
  <c r="C37" i="13"/>
  <c r="C19" i="12"/>
  <c r="C21" i="12" s="1"/>
  <c r="G13" i="14"/>
  <c r="G23" i="16"/>
  <c r="D15" i="19" l="1"/>
  <c r="E27" i="16"/>
  <c r="E35" i="7"/>
  <c r="E34" i="7"/>
  <c r="E29" i="16" s="1"/>
  <c r="D16" i="19"/>
  <c r="E37" i="7"/>
  <c r="E28" i="16"/>
  <c r="I15" i="19"/>
  <c r="J27" i="16"/>
  <c r="J35" i="7"/>
  <c r="J34" i="7"/>
  <c r="J29" i="16" s="1"/>
  <c r="H29" i="7"/>
  <c r="H31" i="7" s="1"/>
  <c r="D9" i="9"/>
  <c r="D16" i="8"/>
  <c r="E23" i="8"/>
  <c r="C21" i="9"/>
  <c r="H22" i="12"/>
  <c r="B5" i="19"/>
  <c r="C5" i="16"/>
  <c r="C37" i="14"/>
  <c r="C38" i="14" s="1"/>
  <c r="C20" i="8"/>
  <c r="H11" i="12"/>
  <c r="I16" i="11"/>
  <c r="X7" i="7"/>
  <c r="D10" i="7"/>
  <c r="D23" i="7" s="1"/>
  <c r="G4" i="19"/>
  <c r="G16" i="19"/>
  <c r="H28" i="16"/>
  <c r="H6" i="12"/>
  <c r="H16" i="12"/>
  <c r="H7" i="9"/>
  <c r="H8" i="12"/>
  <c r="H11" i="14" s="1"/>
  <c r="H12" i="8"/>
  <c r="H37" i="7"/>
  <c r="H14" i="8"/>
  <c r="H11" i="8"/>
  <c r="H21" i="16"/>
  <c r="L29" i="7"/>
  <c r="L31" i="7" s="1"/>
  <c r="E35" i="9"/>
  <c r="E36" i="9" s="1"/>
  <c r="F33" i="9"/>
  <c r="M15" i="19"/>
  <c r="N27" i="16"/>
  <c r="E28" i="8"/>
  <c r="E15" i="16"/>
  <c r="E16" i="16" s="1"/>
  <c r="E36" i="7"/>
  <c r="E30" i="16" s="1"/>
  <c r="E23" i="16"/>
  <c r="E17" i="8"/>
  <c r="E22" i="16"/>
  <c r="H15" i="19"/>
  <c r="I27" i="16"/>
  <c r="I35" i="7"/>
  <c r="I34" i="7"/>
  <c r="I29" i="16" s="1"/>
  <c r="J9" i="8"/>
  <c r="K23" i="4"/>
  <c r="F9" i="9"/>
  <c r="F16" i="8"/>
  <c r="J16" i="4"/>
  <c r="K14" i="4"/>
  <c r="E25" i="13"/>
  <c r="F22" i="13"/>
  <c r="F5" i="13"/>
  <c r="D20" i="12"/>
  <c r="D37" i="9"/>
  <c r="D29" i="8" s="1"/>
  <c r="X10" i="7"/>
  <c r="X23" i="7" s="1"/>
  <c r="F12" i="12"/>
  <c r="G40" i="10"/>
  <c r="I8" i="9"/>
  <c r="G5" i="15"/>
  <c r="G21" i="8"/>
  <c r="H13" i="19"/>
  <c r="I5" i="8"/>
  <c r="C9" i="19"/>
  <c r="D19" i="12"/>
  <c r="D21" i="12" s="1"/>
  <c r="D37" i="13"/>
  <c r="G14" i="14"/>
  <c r="H10" i="12"/>
  <c r="F23" i="13"/>
  <c r="F6" i="13"/>
  <c r="C26" i="7"/>
  <c r="C27" i="7"/>
  <c r="D23" i="8"/>
  <c r="P15" i="19"/>
  <c r="Q27" i="16"/>
  <c r="G22" i="13" l="1"/>
  <c r="G5" i="13"/>
  <c r="F25" i="13"/>
  <c r="C29" i="7"/>
  <c r="C31" i="7" s="1"/>
  <c r="H14" i="14"/>
  <c r="I10" i="12"/>
  <c r="H16" i="19"/>
  <c r="I28" i="16"/>
  <c r="H4" i="19"/>
  <c r="I16" i="12"/>
  <c r="I7" i="9"/>
  <c r="I8" i="12"/>
  <c r="I11" i="14" s="1"/>
  <c r="I6" i="12"/>
  <c r="I12" i="8"/>
  <c r="I14" i="16" s="1"/>
  <c r="I37" i="7"/>
  <c r="I14" i="8"/>
  <c r="I11" i="9" s="1"/>
  <c r="I11" i="8"/>
  <c r="I21" i="16"/>
  <c r="D7" i="14"/>
  <c r="D9" i="19"/>
  <c r="E37" i="13"/>
  <c r="E19" i="12"/>
  <c r="D5" i="19"/>
  <c r="E5" i="16"/>
  <c r="E37" i="14"/>
  <c r="E20" i="8"/>
  <c r="E18" i="8"/>
  <c r="E9" i="16" s="1"/>
  <c r="K15" i="19"/>
  <c r="L27" i="16"/>
  <c r="L35" i="7"/>
  <c r="L34" i="7"/>
  <c r="L29" i="16" s="1"/>
  <c r="H9" i="9"/>
  <c r="H16" i="8"/>
  <c r="H9" i="15"/>
  <c r="H9" i="14"/>
  <c r="I11" i="12"/>
  <c r="J16" i="11"/>
  <c r="I22" i="12"/>
  <c r="C23" i="9"/>
  <c r="C24" i="9"/>
  <c r="D22" i="9" s="1"/>
  <c r="E36" i="14"/>
  <c r="E38" i="14" s="1"/>
  <c r="F28" i="8"/>
  <c r="F15" i="16"/>
  <c r="F16" i="16" s="1"/>
  <c r="F36" i="7"/>
  <c r="F30" i="16" s="1"/>
  <c r="F23" i="16"/>
  <c r="F17" i="8"/>
  <c r="F22" i="16"/>
  <c r="D24" i="14"/>
  <c r="D13" i="9"/>
  <c r="L14" i="4"/>
  <c r="K16" i="4"/>
  <c r="K9" i="8"/>
  <c r="L23" i="4"/>
  <c r="H11" i="9"/>
  <c r="D28" i="8"/>
  <c r="D15" i="16"/>
  <c r="D16" i="16" s="1"/>
  <c r="D22" i="16"/>
  <c r="D23" i="16"/>
  <c r="D17" i="8"/>
  <c r="F10" i="13"/>
  <c r="I13" i="19"/>
  <c r="J5" i="8"/>
  <c r="J8" i="9"/>
  <c r="F35" i="9"/>
  <c r="F36" i="9" s="1"/>
  <c r="G33" i="9"/>
  <c r="H13" i="14"/>
  <c r="H18" i="12"/>
  <c r="D27" i="7"/>
  <c r="X27" i="7" s="1"/>
  <c r="D26" i="7"/>
  <c r="G6" i="13"/>
  <c r="G23" i="13"/>
  <c r="G12" i="12"/>
  <c r="H40" i="10"/>
  <c r="E20" i="12"/>
  <c r="E37" i="9"/>
  <c r="E29" i="8" s="1"/>
  <c r="E7" i="14" s="1"/>
  <c r="H14" i="16"/>
  <c r="C5" i="15"/>
  <c r="C25" i="8"/>
  <c r="E24" i="14"/>
  <c r="E13" i="9"/>
  <c r="E6" i="16"/>
  <c r="G15" i="19"/>
  <c r="H27" i="16"/>
  <c r="H34" i="7"/>
  <c r="H29" i="16" s="1"/>
  <c r="H35" i="7"/>
  <c r="H33" i="9" l="1"/>
  <c r="G35" i="9"/>
  <c r="G36" i="9" s="1"/>
  <c r="I16" i="19"/>
  <c r="I4" i="19"/>
  <c r="J28" i="16"/>
  <c r="J8" i="12"/>
  <c r="J11" i="14" s="1"/>
  <c r="J14" i="8"/>
  <c r="J6" i="12"/>
  <c r="J16" i="12"/>
  <c r="J37" i="7"/>
  <c r="J7" i="9"/>
  <c r="J12" i="8"/>
  <c r="J21" i="16"/>
  <c r="C5" i="19"/>
  <c r="D5" i="16"/>
  <c r="D37" i="14"/>
  <c r="D20" i="8"/>
  <c r="D18" i="8"/>
  <c r="D36" i="14"/>
  <c r="D6" i="16"/>
  <c r="C24" i="16"/>
  <c r="F6" i="16"/>
  <c r="F36" i="14"/>
  <c r="F23" i="8"/>
  <c r="L16" i="4"/>
  <c r="M14" i="4"/>
  <c r="C27" i="9"/>
  <c r="C28" i="9" s="1"/>
  <c r="C29" i="9" s="1"/>
  <c r="C30" i="9"/>
  <c r="I9" i="15"/>
  <c r="I9" i="14"/>
  <c r="I14" i="14"/>
  <c r="J10" i="12"/>
  <c r="E9" i="19"/>
  <c r="F37" i="13"/>
  <c r="F19" i="12"/>
  <c r="C7" i="15"/>
  <c r="C6" i="15"/>
  <c r="H6" i="13"/>
  <c r="H23" i="13"/>
  <c r="D29" i="7"/>
  <c r="D31" i="7" s="1"/>
  <c r="L9" i="8"/>
  <c r="M23" i="4"/>
  <c r="M9" i="8" s="1"/>
  <c r="E5" i="19"/>
  <c r="F5" i="16"/>
  <c r="F37" i="14"/>
  <c r="F38" i="14" s="1"/>
  <c r="F20" i="8"/>
  <c r="F18" i="8"/>
  <c r="F9" i="16" s="1"/>
  <c r="G10" i="13"/>
  <c r="K8" i="9"/>
  <c r="J22" i="12"/>
  <c r="E5" i="15"/>
  <c r="E21" i="8"/>
  <c r="E7" i="16"/>
  <c r="I13" i="14"/>
  <c r="I18" i="12"/>
  <c r="X26" i="7"/>
  <c r="X29" i="7" s="1"/>
  <c r="X31" i="7" s="1"/>
  <c r="B65" i="3" s="1"/>
  <c r="H5" i="13"/>
  <c r="H10" i="13" s="1"/>
  <c r="G25" i="13"/>
  <c r="H22" i="13"/>
  <c r="H12" i="12"/>
  <c r="I40" i="10"/>
  <c r="F37" i="9"/>
  <c r="F29" i="8" s="1"/>
  <c r="F7" i="14" s="1"/>
  <c r="F20" i="12"/>
  <c r="J13" i="19"/>
  <c r="K5" i="8"/>
  <c r="J11" i="12"/>
  <c r="K16" i="11"/>
  <c r="H28" i="8"/>
  <c r="H36" i="7"/>
  <c r="H30" i="16" s="1"/>
  <c r="H15" i="16"/>
  <c r="H16" i="16" s="1"/>
  <c r="H23" i="16"/>
  <c r="H22" i="16"/>
  <c r="H17" i="8"/>
  <c r="E21" i="12"/>
  <c r="I9" i="9"/>
  <c r="I16" i="8"/>
  <c r="B15" i="19"/>
  <c r="C27" i="16"/>
  <c r="B16" i="19"/>
  <c r="H6" i="16" l="1"/>
  <c r="H36" i="14"/>
  <c r="H23" i="8"/>
  <c r="F5" i="15"/>
  <c r="F21" i="8"/>
  <c r="M8" i="9"/>
  <c r="X9" i="8"/>
  <c r="C13" i="16"/>
  <c r="C17" i="15"/>
  <c r="D9" i="16"/>
  <c r="I28" i="8"/>
  <c r="I15" i="16"/>
  <c r="I16" i="16" s="1"/>
  <c r="I36" i="7"/>
  <c r="I30" i="16" s="1"/>
  <c r="I23" i="16"/>
  <c r="I17" i="8"/>
  <c r="I22" i="16"/>
  <c r="J4" i="19"/>
  <c r="J16" i="19"/>
  <c r="K28" i="16"/>
  <c r="K16" i="12"/>
  <c r="K6" i="12"/>
  <c r="K7" i="9"/>
  <c r="K8" i="12"/>
  <c r="K11" i="14" s="1"/>
  <c r="K14" i="8"/>
  <c r="K11" i="9" s="1"/>
  <c r="K12" i="8"/>
  <c r="K14" i="16" s="1"/>
  <c r="K37" i="7"/>
  <c r="K21" i="16"/>
  <c r="I12" i="12"/>
  <c r="J40" i="10"/>
  <c r="G5" i="19"/>
  <c r="H20" i="8"/>
  <c r="H18" i="8"/>
  <c r="H9" i="16" s="1"/>
  <c r="L8" i="9"/>
  <c r="F21" i="12"/>
  <c r="M16" i="4"/>
  <c r="N14" i="4"/>
  <c r="F24" i="14"/>
  <c r="F13" i="9"/>
  <c r="F7" i="16"/>
  <c r="D38" i="14"/>
  <c r="D5" i="15"/>
  <c r="D21" i="8"/>
  <c r="D7" i="16"/>
  <c r="J9" i="15"/>
  <c r="J9" i="14"/>
  <c r="G20" i="12"/>
  <c r="G37" i="9"/>
  <c r="G29" i="8" s="1"/>
  <c r="C15" i="19"/>
  <c r="D27" i="16"/>
  <c r="D34" i="7"/>
  <c r="D29" i="16" s="1"/>
  <c r="D35" i="7"/>
  <c r="C16" i="19"/>
  <c r="D28" i="16"/>
  <c r="D37" i="7"/>
  <c r="D36" i="7"/>
  <c r="D30" i="16" s="1"/>
  <c r="J14" i="14"/>
  <c r="K10" i="12"/>
  <c r="K13" i="19"/>
  <c r="L5" i="8"/>
  <c r="J11" i="9"/>
  <c r="H35" i="9"/>
  <c r="H36" i="9" s="1"/>
  <c r="I33" i="9"/>
  <c r="I5" i="13"/>
  <c r="H25" i="13"/>
  <c r="H37" i="14" s="1"/>
  <c r="I22" i="13"/>
  <c r="K22" i="12"/>
  <c r="C11" i="15"/>
  <c r="K11" i="12"/>
  <c r="L16" i="11"/>
  <c r="F9" i="19"/>
  <c r="G37" i="13"/>
  <c r="G19" i="12"/>
  <c r="G21" i="12" s="1"/>
  <c r="G37" i="14"/>
  <c r="G5" i="16"/>
  <c r="G7" i="16"/>
  <c r="G36" i="14"/>
  <c r="G38" i="14" s="1"/>
  <c r="G6" i="16"/>
  <c r="G23" i="8"/>
  <c r="I6" i="13"/>
  <c r="I23" i="13"/>
  <c r="C27" i="8"/>
  <c r="J14" i="16"/>
  <c r="J11" i="8"/>
  <c r="J13" i="14"/>
  <c r="J18" i="12"/>
  <c r="L22" i="12" l="1"/>
  <c r="K14" i="14"/>
  <c r="L10" i="12"/>
  <c r="K9" i="15"/>
  <c r="K9" i="14"/>
  <c r="I10" i="13"/>
  <c r="H5" i="15"/>
  <c r="H21" i="8"/>
  <c r="J12" i="12"/>
  <c r="K40" i="10"/>
  <c r="X8" i="9"/>
  <c r="H24" i="14"/>
  <c r="H13" i="9"/>
  <c r="H7" i="16"/>
  <c r="J9" i="9"/>
  <c r="J16" i="8"/>
  <c r="L11" i="12"/>
  <c r="M16" i="11"/>
  <c r="I35" i="9"/>
  <c r="I36" i="9" s="1"/>
  <c r="J33" i="9"/>
  <c r="K4" i="19"/>
  <c r="K16" i="19"/>
  <c r="L28" i="16"/>
  <c r="L6" i="12"/>
  <c r="L7" i="9"/>
  <c r="L16" i="12"/>
  <c r="L8" i="12"/>
  <c r="L11" i="14" s="1"/>
  <c r="L14" i="8"/>
  <c r="L12" i="8"/>
  <c r="L37" i="7"/>
  <c r="L11" i="8"/>
  <c r="L21" i="16"/>
  <c r="G7" i="14"/>
  <c r="N16" i="4"/>
  <c r="O14" i="4"/>
  <c r="K13" i="14"/>
  <c r="K18" i="12"/>
  <c r="H5" i="19"/>
  <c r="I20" i="8"/>
  <c r="I18" i="8"/>
  <c r="I9" i="16" s="1"/>
  <c r="J23" i="13"/>
  <c r="J6" i="13"/>
  <c r="G9" i="19"/>
  <c r="H38" i="14"/>
  <c r="H19" i="12"/>
  <c r="H37" i="13"/>
  <c r="B7" i="19"/>
  <c r="C20" i="15"/>
  <c r="C12" i="15"/>
  <c r="C15" i="15"/>
  <c r="C30" i="8"/>
  <c r="G24" i="14"/>
  <c r="G13" i="9"/>
  <c r="I25" i="13"/>
  <c r="I5" i="16" s="1"/>
  <c r="J22" i="13"/>
  <c r="J5" i="13"/>
  <c r="J10" i="13" s="1"/>
  <c r="H20" i="12"/>
  <c r="H37" i="9"/>
  <c r="H29" i="8" s="1"/>
  <c r="H7" i="14" s="1"/>
  <c r="L13" i="19"/>
  <c r="M5" i="8"/>
  <c r="H5" i="16"/>
  <c r="K11" i="8"/>
  <c r="L16" i="19" l="1"/>
  <c r="M28" i="16"/>
  <c r="L4" i="19"/>
  <c r="M7" i="9"/>
  <c r="M16" i="12"/>
  <c r="M8" i="12"/>
  <c r="M11" i="14" s="1"/>
  <c r="M6" i="12"/>
  <c r="M12" i="8"/>
  <c r="M14" i="16" s="1"/>
  <c r="M37" i="7"/>
  <c r="M14" i="8"/>
  <c r="M11" i="9" s="1"/>
  <c r="M21" i="16"/>
  <c r="C18" i="15"/>
  <c r="K6" i="13"/>
  <c r="K23" i="13"/>
  <c r="I37" i="14"/>
  <c r="L9" i="9"/>
  <c r="L16" i="8"/>
  <c r="L11" i="9"/>
  <c r="L9" i="15"/>
  <c r="L9" i="14"/>
  <c r="M11" i="12"/>
  <c r="N16" i="11"/>
  <c r="K12" i="12"/>
  <c r="L40" i="10"/>
  <c r="M22" i="12"/>
  <c r="J23" i="8"/>
  <c r="B6" i="19"/>
  <c r="C5" i="14"/>
  <c r="C35" i="8"/>
  <c r="L13" i="14"/>
  <c r="L18" i="12"/>
  <c r="I6" i="16"/>
  <c r="I7" i="16"/>
  <c r="I36" i="14"/>
  <c r="I23" i="8"/>
  <c r="K9" i="9"/>
  <c r="K16" i="8"/>
  <c r="K22" i="13"/>
  <c r="K5" i="13"/>
  <c r="K10" i="13" s="1"/>
  <c r="J25" i="13"/>
  <c r="P14" i="4"/>
  <c r="O16" i="4"/>
  <c r="L14" i="16"/>
  <c r="B12" i="18"/>
  <c r="J35" i="9"/>
  <c r="J36" i="9" s="1"/>
  <c r="K33" i="9"/>
  <c r="J28" i="8"/>
  <c r="J36" i="7"/>
  <c r="J30" i="16" s="1"/>
  <c r="J15" i="16"/>
  <c r="J16" i="16" s="1"/>
  <c r="J23" i="16"/>
  <c r="J22" i="16"/>
  <c r="J17" i="8"/>
  <c r="J6" i="16" s="1"/>
  <c r="L14" i="14"/>
  <c r="M10" i="12"/>
  <c r="H9" i="19"/>
  <c r="I38" i="14"/>
  <c r="I37" i="13"/>
  <c r="I19" i="12"/>
  <c r="H21" i="12"/>
  <c r="I5" i="15"/>
  <c r="I21" i="8"/>
  <c r="M13" i="19"/>
  <c r="N5" i="8"/>
  <c r="I20" i="12"/>
  <c r="I37" i="9"/>
  <c r="I29" i="8" s="1"/>
  <c r="I7" i="14" s="1"/>
  <c r="M11" i="8" l="1"/>
  <c r="M9" i="15"/>
  <c r="M9" i="14"/>
  <c r="L33" i="9"/>
  <c r="K35" i="9"/>
  <c r="K36" i="9" s="1"/>
  <c r="L5" i="13"/>
  <c r="K25" i="13"/>
  <c r="L22" i="13"/>
  <c r="I21" i="12"/>
  <c r="J20" i="12"/>
  <c r="J37" i="9"/>
  <c r="J29" i="8" s="1"/>
  <c r="J7" i="14" s="1"/>
  <c r="K28" i="8"/>
  <c r="K15" i="16"/>
  <c r="K16" i="16" s="1"/>
  <c r="K36" i="7"/>
  <c r="K30" i="16" s="1"/>
  <c r="K23" i="16"/>
  <c r="K17" i="8"/>
  <c r="K22" i="16"/>
  <c r="D33" i="8"/>
  <c r="C23" i="12"/>
  <c r="C24" i="12" s="1"/>
  <c r="J24" i="14"/>
  <c r="J13" i="9"/>
  <c r="N11" i="12"/>
  <c r="O16" i="11"/>
  <c r="X14" i="8"/>
  <c r="Q14" i="4"/>
  <c r="P16" i="4"/>
  <c r="I24" i="14"/>
  <c r="I13" i="9"/>
  <c r="N14" i="14"/>
  <c r="X14" i="14" s="1"/>
  <c r="M14" i="14"/>
  <c r="I5" i="19"/>
  <c r="J5" i="16"/>
  <c r="J37" i="14"/>
  <c r="J20" i="8"/>
  <c r="J18" i="8"/>
  <c r="C17" i="16"/>
  <c r="I9" i="19"/>
  <c r="J37" i="13"/>
  <c r="J19" i="12"/>
  <c r="J21" i="12" s="1"/>
  <c r="L12" i="12"/>
  <c r="M38" i="10"/>
  <c r="M22" i="8" s="1"/>
  <c r="X11" i="9"/>
  <c r="M13" i="14"/>
  <c r="M18" i="12"/>
  <c r="M16" i="19"/>
  <c r="M4" i="19"/>
  <c r="N23" i="16"/>
  <c r="N28" i="16"/>
  <c r="N19" i="16"/>
  <c r="N16" i="12"/>
  <c r="N8" i="12"/>
  <c r="N11" i="14" s="1"/>
  <c r="N6" i="12"/>
  <c r="N31" i="8"/>
  <c r="N10" i="16" s="1"/>
  <c r="N7" i="9"/>
  <c r="N26" i="8"/>
  <c r="N37" i="7"/>
  <c r="N18" i="8"/>
  <c r="N9" i="16" s="1"/>
  <c r="N21" i="8"/>
  <c r="N12" i="8"/>
  <c r="N14" i="16" s="1"/>
  <c r="N13" i="19"/>
  <c r="O5" i="8"/>
  <c r="K36" i="14"/>
  <c r="K6" i="16"/>
  <c r="K23" i="8"/>
  <c r="C15" i="14"/>
  <c r="J36" i="14"/>
  <c r="J38" i="14" s="1"/>
  <c r="N22" i="12"/>
  <c r="L28" i="8"/>
  <c r="L15" i="16"/>
  <c r="L16" i="16" s="1"/>
  <c r="L36" i="7"/>
  <c r="L30" i="16" s="1"/>
  <c r="L22" i="16"/>
  <c r="L23" i="16"/>
  <c r="L17" i="8"/>
  <c r="L6" i="13"/>
  <c r="L23" i="13"/>
  <c r="B8" i="19"/>
  <c r="C19" i="15"/>
  <c r="C31" i="14" l="1"/>
  <c r="K24" i="14"/>
  <c r="K13" i="9"/>
  <c r="N13" i="14"/>
  <c r="N18" i="12"/>
  <c r="J5" i="15"/>
  <c r="J21" i="8"/>
  <c r="J7" i="16"/>
  <c r="Q16" i="4"/>
  <c r="R14" i="4"/>
  <c r="J9" i="19"/>
  <c r="K37" i="13"/>
  <c r="K19" i="12"/>
  <c r="L10" i="13"/>
  <c r="K5" i="19"/>
  <c r="L20" i="8"/>
  <c r="E17" i="16"/>
  <c r="L18" i="8"/>
  <c r="L9" i="16" s="1"/>
  <c r="N4" i="19"/>
  <c r="N16" i="19"/>
  <c r="O19" i="16"/>
  <c r="O28" i="16"/>
  <c r="O23" i="16"/>
  <c r="O16" i="12"/>
  <c r="O18" i="8"/>
  <c r="O9" i="16" s="1"/>
  <c r="O6" i="12"/>
  <c r="O31" i="8"/>
  <c r="O10" i="16" s="1"/>
  <c r="O7" i="9"/>
  <c r="O26" i="8"/>
  <c r="O8" i="12"/>
  <c r="O11" i="14" s="1"/>
  <c r="O11" i="8"/>
  <c r="O21" i="8"/>
  <c r="O12" i="8"/>
  <c r="O14" i="16" s="1"/>
  <c r="O37" i="7"/>
  <c r="N11" i="8"/>
  <c r="N9" i="15"/>
  <c r="N9" i="14"/>
  <c r="O11" i="12"/>
  <c r="P16" i="11"/>
  <c r="C12" i="16"/>
  <c r="C11" i="16"/>
  <c r="C25" i="12"/>
  <c r="K20" i="12"/>
  <c r="K37" i="9"/>
  <c r="K29" i="8" s="1"/>
  <c r="K7" i="14" s="1"/>
  <c r="M9" i="9"/>
  <c r="M16" i="8"/>
  <c r="M8" i="14"/>
  <c r="X8" i="14" s="1"/>
  <c r="X22" i="8"/>
  <c r="M6" i="13"/>
  <c r="M23" i="13"/>
  <c r="O22" i="12"/>
  <c r="J9" i="16"/>
  <c r="O13" i="19"/>
  <c r="P5" i="8"/>
  <c r="J5" i="19"/>
  <c r="K5" i="16"/>
  <c r="K37" i="14"/>
  <c r="K38" i="14" s="1"/>
  <c r="K20" i="8"/>
  <c r="K18" i="8"/>
  <c r="K9" i="16" s="1"/>
  <c r="D17" i="16"/>
  <c r="M5" i="13"/>
  <c r="M10" i="13" s="1"/>
  <c r="L25" i="13"/>
  <c r="L37" i="14" s="1"/>
  <c r="M22" i="13"/>
  <c r="L35" i="9"/>
  <c r="L36" i="9" s="1"/>
  <c r="M33" i="9"/>
  <c r="P22" i="12" l="1"/>
  <c r="N9" i="9"/>
  <c r="N16" i="8"/>
  <c r="O13" i="14"/>
  <c r="O18" i="12"/>
  <c r="L5" i="15"/>
  <c r="L21" i="8"/>
  <c r="L7" i="16"/>
  <c r="L6" i="16"/>
  <c r="L36" i="14"/>
  <c r="L23" i="8"/>
  <c r="R16" i="4"/>
  <c r="S14" i="4"/>
  <c r="N8" i="16"/>
  <c r="O4" i="19"/>
  <c r="O16" i="19"/>
  <c r="P23" i="16"/>
  <c r="P19" i="16"/>
  <c r="P28" i="16"/>
  <c r="P16" i="12"/>
  <c r="P6" i="12"/>
  <c r="P31" i="8"/>
  <c r="P10" i="16" s="1"/>
  <c r="P7" i="9"/>
  <c r="P8" i="12"/>
  <c r="P11" i="14" s="1"/>
  <c r="P21" i="8"/>
  <c r="P18" i="8"/>
  <c r="P9" i="16" s="1"/>
  <c r="P12" i="8"/>
  <c r="P14" i="16" s="1"/>
  <c r="P37" i="7"/>
  <c r="P26" i="8"/>
  <c r="P11" i="8"/>
  <c r="N23" i="13"/>
  <c r="N6" i="13"/>
  <c r="M28" i="8"/>
  <c r="M15" i="16"/>
  <c r="M16" i="16" s="1"/>
  <c r="M36" i="7"/>
  <c r="M30" i="16" s="1"/>
  <c r="M23" i="16"/>
  <c r="M17" i="8"/>
  <c r="M22" i="16"/>
  <c r="O9" i="9"/>
  <c r="O16" i="8"/>
  <c r="P13" i="19"/>
  <c r="Q5" i="8"/>
  <c r="L20" i="12"/>
  <c r="L37" i="9"/>
  <c r="L29" i="8" s="1"/>
  <c r="L7" i="14" s="1"/>
  <c r="M25" i="13"/>
  <c r="N22" i="13"/>
  <c r="N5" i="13"/>
  <c r="N10" i="13" s="1"/>
  <c r="K9" i="19"/>
  <c r="L19" i="12"/>
  <c r="L21" i="12" s="1"/>
  <c r="L38" i="14"/>
  <c r="L37" i="13"/>
  <c r="P11" i="12"/>
  <c r="Q16" i="11"/>
  <c r="O9" i="15"/>
  <c r="O9" i="14"/>
  <c r="L5" i="16"/>
  <c r="K21" i="12"/>
  <c r="C33" i="14"/>
  <c r="M35" i="9"/>
  <c r="M36" i="9" s="1"/>
  <c r="N33" i="9"/>
  <c r="M6" i="16"/>
  <c r="M36" i="14"/>
  <c r="M23" i="8"/>
  <c r="K5" i="15"/>
  <c r="K21" i="8"/>
  <c r="K7" i="16"/>
  <c r="N35" i="9" l="1"/>
  <c r="N36" i="9" s="1"/>
  <c r="O33" i="9"/>
  <c r="N23" i="8"/>
  <c r="P9" i="15"/>
  <c r="P9" i="14"/>
  <c r="Q22" i="12"/>
  <c r="M20" i="12"/>
  <c r="M37" i="9"/>
  <c r="M29" i="8" s="1"/>
  <c r="M7" i="14" s="1"/>
  <c r="O22" i="13"/>
  <c r="O5" i="13"/>
  <c r="O10" i="13" s="1"/>
  <c r="N25" i="13"/>
  <c r="P16" i="19"/>
  <c r="Q28" i="16"/>
  <c r="P4" i="19"/>
  <c r="Q19" i="16"/>
  <c r="Q23" i="16"/>
  <c r="Q7" i="9"/>
  <c r="Q26" i="8"/>
  <c r="Q21" i="8"/>
  <c r="Q8" i="12"/>
  <c r="Q11" i="14" s="1"/>
  <c r="Q16" i="12"/>
  <c r="Q6" i="12"/>
  <c r="Q18" i="8"/>
  <c r="Q9" i="16" s="1"/>
  <c r="Q12" i="8"/>
  <c r="Q14" i="16" s="1"/>
  <c r="Q31" i="8"/>
  <c r="Q10" i="16" s="1"/>
  <c r="Q37" i="7"/>
  <c r="Q11" i="8"/>
  <c r="O6" i="13"/>
  <c r="O23" i="13"/>
  <c r="P13" i="14"/>
  <c r="P18" i="12"/>
  <c r="T14" i="4"/>
  <c r="S16" i="4"/>
  <c r="L9" i="19"/>
  <c r="M37" i="13"/>
  <c r="M19" i="12"/>
  <c r="M21" i="12" s="1"/>
  <c r="P9" i="9"/>
  <c r="P16" i="8"/>
  <c r="Q13" i="19"/>
  <c r="R5" i="8"/>
  <c r="N28" i="8"/>
  <c r="N17" i="8"/>
  <c r="M24" i="14"/>
  <c r="M13" i="9"/>
  <c r="B10" i="19"/>
  <c r="D32" i="14"/>
  <c r="C35" i="14"/>
  <c r="C5" i="12"/>
  <c r="D24" i="8"/>
  <c r="Q11" i="12"/>
  <c r="R16" i="11"/>
  <c r="O28" i="8"/>
  <c r="O17" i="8"/>
  <c r="L5" i="19"/>
  <c r="M5" i="16"/>
  <c r="M37" i="14"/>
  <c r="M38" i="14" s="1"/>
  <c r="M20" i="8"/>
  <c r="M18" i="8"/>
  <c r="M9" i="16" s="1"/>
  <c r="F17" i="16"/>
  <c r="G17" i="16"/>
  <c r="L24" i="14"/>
  <c r="L13" i="9"/>
  <c r="O8" i="16"/>
  <c r="R11" i="12" l="1"/>
  <c r="S16" i="11"/>
  <c r="C9" i="12"/>
  <c r="C13" i="12" s="1"/>
  <c r="C27" i="12" s="1"/>
  <c r="C18" i="16"/>
  <c r="M5" i="19"/>
  <c r="N5" i="16"/>
  <c r="N37" i="14"/>
  <c r="N20" i="8"/>
  <c r="Q16" i="19"/>
  <c r="Q4" i="19"/>
  <c r="R28" i="16"/>
  <c r="R23" i="16"/>
  <c r="R19" i="16"/>
  <c r="R16" i="12"/>
  <c r="R8" i="12"/>
  <c r="R11" i="14" s="1"/>
  <c r="R6" i="12"/>
  <c r="R31" i="8"/>
  <c r="R10" i="16" s="1"/>
  <c r="R21" i="8"/>
  <c r="R37" i="7"/>
  <c r="R26" i="8"/>
  <c r="R7" i="9"/>
  <c r="R18" i="8"/>
  <c r="R9" i="16" s="1"/>
  <c r="R12" i="8"/>
  <c r="R14" i="16" s="1"/>
  <c r="P8" i="16"/>
  <c r="Q9" i="9"/>
  <c r="Q16" i="8"/>
  <c r="R22" i="12"/>
  <c r="Q9" i="15"/>
  <c r="Q9" i="14"/>
  <c r="M9" i="19"/>
  <c r="B6" i="18"/>
  <c r="N38" i="14"/>
  <c r="N37" i="13"/>
  <c r="N19" i="12"/>
  <c r="N36" i="14"/>
  <c r="R13" i="19"/>
  <c r="S5" i="8"/>
  <c r="P6" i="13"/>
  <c r="P23" i="13"/>
  <c r="Q13" i="14"/>
  <c r="Q18" i="12"/>
  <c r="O36" i="14"/>
  <c r="O6" i="16"/>
  <c r="O23" i="8"/>
  <c r="N6" i="16"/>
  <c r="P33" i="9"/>
  <c r="O35" i="9"/>
  <c r="O36" i="9" s="1"/>
  <c r="M5" i="15"/>
  <c r="M21" i="8"/>
  <c r="M7" i="16"/>
  <c r="N5" i="19"/>
  <c r="O5" i="16"/>
  <c r="O37" i="14"/>
  <c r="O20" i="8"/>
  <c r="H17" i="16"/>
  <c r="D14" i="9"/>
  <c r="D25" i="8"/>
  <c r="P28" i="8"/>
  <c r="P17" i="8"/>
  <c r="T16" i="4"/>
  <c r="U14" i="4"/>
  <c r="P5" i="13"/>
  <c r="P10" i="13" s="1"/>
  <c r="O25" i="13"/>
  <c r="P22" i="13"/>
  <c r="N24" i="14"/>
  <c r="N13" i="9"/>
  <c r="N37" i="9"/>
  <c r="N29" i="8" s="1"/>
  <c r="N7" i="14" s="1"/>
  <c r="N20" i="12"/>
  <c r="U16" i="4" l="1"/>
  <c r="V14" i="4"/>
  <c r="S13" i="19"/>
  <c r="T5" i="8"/>
  <c r="P6" i="16"/>
  <c r="P36" i="14"/>
  <c r="P23" i="8"/>
  <c r="O5" i="19"/>
  <c r="P5" i="16"/>
  <c r="P37" i="14"/>
  <c r="P20" i="8"/>
  <c r="I17" i="16"/>
  <c r="D15" i="9"/>
  <c r="O5" i="15"/>
  <c r="O24" i="14"/>
  <c r="O13" i="9"/>
  <c r="O7" i="16"/>
  <c r="N21" i="12"/>
  <c r="N5" i="15"/>
  <c r="N7" i="16"/>
  <c r="Q5" i="13"/>
  <c r="P25" i="13"/>
  <c r="Q22" i="13"/>
  <c r="D26" i="8"/>
  <c r="O20" i="12"/>
  <c r="O37" i="9"/>
  <c r="O29" i="8" s="1"/>
  <c r="O7" i="14" s="1"/>
  <c r="Q8" i="16"/>
  <c r="R4" i="19"/>
  <c r="R16" i="19"/>
  <c r="S19" i="16"/>
  <c r="S28" i="16"/>
  <c r="S23" i="16"/>
  <c r="S16" i="12"/>
  <c r="S18" i="8"/>
  <c r="S9" i="16" s="1"/>
  <c r="S6" i="12"/>
  <c r="S31" i="8"/>
  <c r="S10" i="16" s="1"/>
  <c r="S7" i="9"/>
  <c r="S26" i="8"/>
  <c r="S8" i="12"/>
  <c r="S11" i="14" s="1"/>
  <c r="S12" i="8"/>
  <c r="S14" i="16" s="1"/>
  <c r="S21" i="8"/>
  <c r="S37" i="7"/>
  <c r="Q28" i="8"/>
  <c r="Q17" i="8"/>
  <c r="R13" i="14"/>
  <c r="R18" i="12"/>
  <c r="P35" i="9"/>
  <c r="P36" i="9" s="1"/>
  <c r="Q33" i="9"/>
  <c r="R11" i="8"/>
  <c r="S11" i="12"/>
  <c r="T16" i="11"/>
  <c r="N9" i="19"/>
  <c r="O38" i="14"/>
  <c r="O37" i="13"/>
  <c r="O19" i="12"/>
  <c r="O21" i="12" s="1"/>
  <c r="Q6" i="13"/>
  <c r="Q23" i="13"/>
  <c r="S22" i="12"/>
  <c r="R9" i="15"/>
  <c r="R9" i="14"/>
  <c r="T22" i="12" l="1"/>
  <c r="P5" i="19"/>
  <c r="Q5" i="16"/>
  <c r="Q37" i="14"/>
  <c r="Q20" i="8"/>
  <c r="J17" i="16"/>
  <c r="O9" i="19"/>
  <c r="P38" i="14"/>
  <c r="P19" i="12"/>
  <c r="P37" i="13"/>
  <c r="O6" i="15"/>
  <c r="O7" i="15" s="1"/>
  <c r="O11" i="15" s="1"/>
  <c r="P5" i="15"/>
  <c r="P24" i="14"/>
  <c r="P13" i="9"/>
  <c r="P7" i="16"/>
  <c r="S4" i="19"/>
  <c r="S16" i="19"/>
  <c r="T23" i="16"/>
  <c r="T28" i="16"/>
  <c r="T19" i="16"/>
  <c r="T6" i="12"/>
  <c r="T31" i="8"/>
  <c r="T10" i="16" s="1"/>
  <c r="T7" i="9"/>
  <c r="T16" i="12"/>
  <c r="T8" i="12"/>
  <c r="T11" i="14" s="1"/>
  <c r="T26" i="8"/>
  <c r="T12" i="8"/>
  <c r="T14" i="16" s="1"/>
  <c r="T21" i="8"/>
  <c r="T18" i="8"/>
  <c r="T9" i="16" s="1"/>
  <c r="T37" i="7"/>
  <c r="T11" i="8"/>
  <c r="R23" i="13"/>
  <c r="R6" i="13"/>
  <c r="Q35" i="9"/>
  <c r="Q36" i="9" s="1"/>
  <c r="R33" i="9"/>
  <c r="S13" i="14"/>
  <c r="S18" i="12"/>
  <c r="Q10" i="13"/>
  <c r="N6" i="15"/>
  <c r="N7" i="15" s="1"/>
  <c r="N11" i="15" s="1"/>
  <c r="D21" i="9"/>
  <c r="R8" i="16"/>
  <c r="P20" i="12"/>
  <c r="P37" i="9"/>
  <c r="P29" i="8" s="1"/>
  <c r="P7" i="14" s="1"/>
  <c r="S11" i="8"/>
  <c r="V16" i="4"/>
  <c r="W14" i="4"/>
  <c r="W16" i="4" s="1"/>
  <c r="T11" i="12"/>
  <c r="U16" i="11"/>
  <c r="R9" i="9"/>
  <c r="R16" i="8"/>
  <c r="S9" i="15"/>
  <c r="S9" i="14"/>
  <c r="Q25" i="13"/>
  <c r="R22" i="13"/>
  <c r="R5" i="13"/>
  <c r="R10" i="13" s="1"/>
  <c r="T13" i="19"/>
  <c r="U5" i="8"/>
  <c r="N7" i="19" l="1"/>
  <c r="O20" i="15"/>
  <c r="O15" i="15"/>
  <c r="M7" i="19"/>
  <c r="N15" i="15"/>
  <c r="N20" i="15"/>
  <c r="R28" i="8"/>
  <c r="R17" i="8"/>
  <c r="S9" i="9"/>
  <c r="S16" i="8"/>
  <c r="S8" i="16"/>
  <c r="Q5" i="15"/>
  <c r="S22" i="13"/>
  <c r="S5" i="13"/>
  <c r="R25" i="13"/>
  <c r="P9" i="19"/>
  <c r="Q37" i="13"/>
  <c r="Q19" i="12"/>
  <c r="V13" i="19"/>
  <c r="W5" i="8"/>
  <c r="S6" i="13"/>
  <c r="S23" i="13"/>
  <c r="T9" i="15"/>
  <c r="T9" i="14"/>
  <c r="U22" i="12"/>
  <c r="R35" i="9"/>
  <c r="R36" i="9" s="1"/>
  <c r="S33" i="9"/>
  <c r="T16" i="19"/>
  <c r="U28" i="16"/>
  <c r="T4" i="19"/>
  <c r="U19" i="16"/>
  <c r="U23" i="16"/>
  <c r="U7" i="9"/>
  <c r="U26" i="8"/>
  <c r="U21" i="8"/>
  <c r="U16" i="12"/>
  <c r="U8" i="12"/>
  <c r="U11" i="14" s="1"/>
  <c r="U6" i="12"/>
  <c r="U31" i="8"/>
  <c r="U10" i="16" s="1"/>
  <c r="U12" i="8"/>
  <c r="U14" i="16" s="1"/>
  <c r="U18" i="8"/>
  <c r="U9" i="16" s="1"/>
  <c r="U37" i="7"/>
  <c r="U13" i="19"/>
  <c r="V5" i="8"/>
  <c r="T9" i="9"/>
  <c r="T16" i="8"/>
  <c r="T13" i="14"/>
  <c r="T18" i="12"/>
  <c r="R6" i="16"/>
  <c r="R36" i="14"/>
  <c r="R23" i="8"/>
  <c r="U11" i="12"/>
  <c r="V16" i="11"/>
  <c r="D24" i="9"/>
  <c r="E22" i="9" s="1"/>
  <c r="D23" i="9"/>
  <c r="Q6" i="16"/>
  <c r="Q7" i="16"/>
  <c r="Q36" i="14"/>
  <c r="Q38" i="14" s="1"/>
  <c r="Q23" i="8"/>
  <c r="Q20" i="12"/>
  <c r="Q37" i="9"/>
  <c r="Q29" i="8" s="1"/>
  <c r="Q7" i="14" s="1"/>
  <c r="P7" i="15"/>
  <c r="P11" i="15" s="1"/>
  <c r="P6" i="15"/>
  <c r="P21" i="12"/>
  <c r="U16" i="19" l="1"/>
  <c r="U4" i="19"/>
  <c r="V23" i="16"/>
  <c r="V19" i="16"/>
  <c r="V28" i="16"/>
  <c r="V16" i="12"/>
  <c r="V8" i="12"/>
  <c r="V11" i="14" s="1"/>
  <c r="V6" i="12"/>
  <c r="V31" i="8"/>
  <c r="V10" i="16" s="1"/>
  <c r="V26" i="8"/>
  <c r="V18" i="8"/>
  <c r="V9" i="16" s="1"/>
  <c r="V37" i="7"/>
  <c r="V21" i="8"/>
  <c r="V11" i="8"/>
  <c r="V7" i="9"/>
  <c r="V12" i="8"/>
  <c r="V14" i="16" s="1"/>
  <c r="T28" i="8"/>
  <c r="T17" i="8"/>
  <c r="U11" i="8"/>
  <c r="V22" i="12"/>
  <c r="Q21" i="12"/>
  <c r="Q5" i="19"/>
  <c r="R5" i="16"/>
  <c r="R37" i="14"/>
  <c r="R20" i="8"/>
  <c r="K17" i="16"/>
  <c r="T8" i="16"/>
  <c r="Q24" i="14"/>
  <c r="Q13" i="9"/>
  <c r="D27" i="9"/>
  <c r="D28" i="9" s="1"/>
  <c r="D29" i="9" s="1"/>
  <c r="D30" i="9" s="1"/>
  <c r="R24" i="14"/>
  <c r="R13" i="9"/>
  <c r="U9" i="15"/>
  <c r="U9" i="14"/>
  <c r="T33" i="9"/>
  <c r="S35" i="9"/>
  <c r="S36" i="9" s="1"/>
  <c r="V4" i="19"/>
  <c r="W28" i="16"/>
  <c r="W19" i="16"/>
  <c r="W23" i="16"/>
  <c r="W16" i="12"/>
  <c r="W18" i="8"/>
  <c r="W6" i="12"/>
  <c r="W31" i="8"/>
  <c r="W10" i="16" s="1"/>
  <c r="W7" i="9"/>
  <c r="W26" i="8"/>
  <c r="W8" i="12"/>
  <c r="W11" i="14" s="1"/>
  <c r="X11" i="14" s="1"/>
  <c r="W21" i="8"/>
  <c r="W12" i="8"/>
  <c r="W37" i="7"/>
  <c r="X5" i="8"/>
  <c r="Q9" i="19"/>
  <c r="R37" i="13"/>
  <c r="R38" i="14"/>
  <c r="R19" i="12"/>
  <c r="Q6" i="15"/>
  <c r="Q7" i="15"/>
  <c r="Q11" i="15" s="1"/>
  <c r="R20" i="12"/>
  <c r="R37" i="9"/>
  <c r="R29" i="8" s="1"/>
  <c r="R7" i="14" s="1"/>
  <c r="S10" i="13"/>
  <c r="S28" i="8"/>
  <c r="S17" i="8"/>
  <c r="L17" i="16" s="1"/>
  <c r="O7" i="19"/>
  <c r="P20" i="15"/>
  <c r="P15" i="15"/>
  <c r="V11" i="12"/>
  <c r="W16" i="11"/>
  <c r="W11" i="12" s="1"/>
  <c r="U13" i="14"/>
  <c r="U18" i="12"/>
  <c r="T6" i="13"/>
  <c r="T23" i="13"/>
  <c r="T5" i="13"/>
  <c r="T10" i="13" s="1"/>
  <c r="S25" i="13"/>
  <c r="T22" i="13"/>
  <c r="D27" i="8" l="1"/>
  <c r="W14" i="16"/>
  <c r="X12" i="8"/>
  <c r="W9" i="15"/>
  <c r="W9" i="14"/>
  <c r="T35" i="9"/>
  <c r="T36" i="9" s="1"/>
  <c r="U33" i="9"/>
  <c r="X7" i="9"/>
  <c r="U5" i="13"/>
  <c r="T25" i="13"/>
  <c r="U22" i="13"/>
  <c r="R9" i="19"/>
  <c r="S37" i="13"/>
  <c r="S19" i="12"/>
  <c r="R5" i="19"/>
  <c r="S5" i="16"/>
  <c r="S37" i="14"/>
  <c r="S20" i="8"/>
  <c r="R21" i="12"/>
  <c r="W11" i="8"/>
  <c r="W9" i="16"/>
  <c r="X18" i="8"/>
  <c r="M17" i="16"/>
  <c r="U9" i="9"/>
  <c r="U16" i="8"/>
  <c r="V9" i="15"/>
  <c r="V9" i="14"/>
  <c r="T6" i="16"/>
  <c r="T36" i="14"/>
  <c r="T23" i="8"/>
  <c r="U8" i="16"/>
  <c r="D13" i="16"/>
  <c r="D17" i="15"/>
  <c r="D6" i="15"/>
  <c r="R5" i="15"/>
  <c r="R7" i="16"/>
  <c r="S5" i="19"/>
  <c r="T5" i="16"/>
  <c r="T37" i="14"/>
  <c r="T20" i="8"/>
  <c r="V9" i="9"/>
  <c r="V16" i="8"/>
  <c r="B28" i="3"/>
  <c r="E14" i="3"/>
  <c r="W13" i="14"/>
  <c r="W18" i="12"/>
  <c r="U6" i="13"/>
  <c r="U23" i="13"/>
  <c r="S7" i="16"/>
  <c r="S36" i="14"/>
  <c r="S38" i="14" s="1"/>
  <c r="S6" i="16"/>
  <c r="S23" i="8"/>
  <c r="P7" i="19"/>
  <c r="Q15" i="15"/>
  <c r="Q20" i="15"/>
  <c r="S20" i="12"/>
  <c r="S37" i="9"/>
  <c r="S29" i="8" s="1"/>
  <c r="S7" i="14" s="1"/>
  <c r="W22" i="12"/>
  <c r="V13" i="14"/>
  <c r="V18" i="12"/>
  <c r="V8" i="16" l="1"/>
  <c r="V23" i="13"/>
  <c r="V6" i="13"/>
  <c r="T5" i="15"/>
  <c r="D7" i="15"/>
  <c r="W9" i="9"/>
  <c r="W16" i="8"/>
  <c r="X11" i="8"/>
  <c r="B22" i="3" s="1"/>
  <c r="U25" i="13"/>
  <c r="V22" i="13"/>
  <c r="V5" i="13"/>
  <c r="T20" i="12"/>
  <c r="T37" i="9"/>
  <c r="T29" i="8" s="1"/>
  <c r="T7" i="14" s="1"/>
  <c r="V28" i="8"/>
  <c r="V17" i="8"/>
  <c r="S9" i="19"/>
  <c r="T38" i="14"/>
  <c r="T19" i="12"/>
  <c r="T37" i="13"/>
  <c r="X9" i="14"/>
  <c r="T24" i="14"/>
  <c r="T13" i="9"/>
  <c r="T7" i="16"/>
  <c r="U10" i="13"/>
  <c r="X9" i="15"/>
  <c r="W8" i="16"/>
  <c r="S24" i="14"/>
  <c r="S13" i="9"/>
  <c r="X13" i="14"/>
  <c r="R6" i="15"/>
  <c r="R7" i="15" s="1"/>
  <c r="R11" i="15" s="1"/>
  <c r="U28" i="8"/>
  <c r="U17" i="8"/>
  <c r="S5" i="15"/>
  <c r="S21" i="12"/>
  <c r="U35" i="9"/>
  <c r="U36" i="9" s="1"/>
  <c r="V33" i="9"/>
  <c r="D19" i="16"/>
  <c r="D24" i="16"/>
  <c r="D30" i="8"/>
  <c r="Q7" i="19" l="1"/>
  <c r="R20" i="15"/>
  <c r="R15" i="15"/>
  <c r="S6" i="15"/>
  <c r="S7" i="15" s="1"/>
  <c r="S11" i="15" s="1"/>
  <c r="T9" i="19"/>
  <c r="U37" i="13"/>
  <c r="U19" i="12"/>
  <c r="T6" i="15"/>
  <c r="T7" i="15" s="1"/>
  <c r="T11" i="15" s="1"/>
  <c r="C6" i="19"/>
  <c r="D5" i="14"/>
  <c r="D31" i="8"/>
  <c r="D10" i="16" s="1"/>
  <c r="D11" i="15"/>
  <c r="V35" i="9"/>
  <c r="V36" i="9" s="1"/>
  <c r="W33" i="9"/>
  <c r="W35" i="9" s="1"/>
  <c r="W36" i="9" s="1"/>
  <c r="U20" i="12"/>
  <c r="U37" i="9"/>
  <c r="U29" i="8" s="1"/>
  <c r="U7" i="14" s="1"/>
  <c r="T5" i="19"/>
  <c r="U5" i="16"/>
  <c r="U37" i="14"/>
  <c r="U20" i="8"/>
  <c r="O17" i="16"/>
  <c r="P17" i="16"/>
  <c r="N17" i="16"/>
  <c r="U5" i="19"/>
  <c r="V5" i="16"/>
  <c r="V37" i="14"/>
  <c r="V20" i="8"/>
  <c r="V10" i="13"/>
  <c r="W28" i="8"/>
  <c r="X28" i="8" s="1"/>
  <c r="B23" i="3" s="1"/>
  <c r="X16" i="8"/>
  <c r="W17" i="8"/>
  <c r="S17" i="16" s="1"/>
  <c r="W6" i="13"/>
  <c r="W23" i="13"/>
  <c r="U6" i="16"/>
  <c r="U7" i="16"/>
  <c r="U36" i="14"/>
  <c r="U38" i="14" s="1"/>
  <c r="U23" i="8"/>
  <c r="T21" i="12"/>
  <c r="W22" i="13"/>
  <c r="W25" i="13" s="1"/>
  <c r="W5" i="13"/>
  <c r="W10" i="13" s="1"/>
  <c r="V25" i="13"/>
  <c r="X9" i="9"/>
  <c r="R7" i="19" l="1"/>
  <c r="S20" i="15"/>
  <c r="S15" i="15"/>
  <c r="S7" i="19"/>
  <c r="T20" i="15"/>
  <c r="T15" i="15"/>
  <c r="W36" i="14"/>
  <c r="W38" i="14" s="1"/>
  <c r="W6" i="16"/>
  <c r="W23" i="8"/>
  <c r="X10" i="13"/>
  <c r="V7" i="16"/>
  <c r="V6" i="16"/>
  <c r="V36" i="14"/>
  <c r="V23" i="8"/>
  <c r="C7" i="19"/>
  <c r="D20" i="15"/>
  <c r="D15" i="15"/>
  <c r="D12" i="15"/>
  <c r="D15" i="14"/>
  <c r="U21" i="12"/>
  <c r="V9" i="19"/>
  <c r="W17" i="16"/>
  <c r="W37" i="13"/>
  <c r="W19" i="12"/>
  <c r="W21" i="12" s="1"/>
  <c r="E23" i="3"/>
  <c r="U24" i="14"/>
  <c r="U13" i="9"/>
  <c r="V5" i="19"/>
  <c r="W5" i="16"/>
  <c r="W37" i="14"/>
  <c r="W20" i="8"/>
  <c r="X17" i="8"/>
  <c r="E15" i="3" s="1"/>
  <c r="T17" i="16"/>
  <c r="V5" i="15"/>
  <c r="R17" i="16"/>
  <c r="W20" i="12"/>
  <c r="W37" i="9"/>
  <c r="W29" i="8" s="1"/>
  <c r="V37" i="9"/>
  <c r="V29" i="8" s="1"/>
  <c r="V7" i="14" s="1"/>
  <c r="V20" i="12"/>
  <c r="U9" i="19"/>
  <c r="V17" i="16"/>
  <c r="V38" i="14"/>
  <c r="V37" i="13"/>
  <c r="V19" i="12"/>
  <c r="V21" i="12" s="1"/>
  <c r="Q17" i="16"/>
  <c r="U5" i="15"/>
  <c r="U17" i="16"/>
  <c r="B10" i="18" l="1"/>
  <c r="W7" i="14"/>
  <c r="X7" i="14" s="1"/>
  <c r="X29" i="8"/>
  <c r="U6" i="15"/>
  <c r="U7" i="15" s="1"/>
  <c r="U11" i="15" s="1"/>
  <c r="V6" i="15"/>
  <c r="V7" i="15"/>
  <c r="V11" i="15" s="1"/>
  <c r="V24" i="14"/>
  <c r="V13" i="9"/>
  <c r="D26" i="14"/>
  <c r="D18" i="15"/>
  <c r="W5" i="15"/>
  <c r="X20" i="8"/>
  <c r="W24" i="14"/>
  <c r="X24" i="14" s="1"/>
  <c r="W13" i="9"/>
  <c r="X23" i="8"/>
  <c r="W7" i="16"/>
  <c r="T7" i="19" l="1"/>
  <c r="U15" i="15"/>
  <c r="U20" i="15"/>
  <c r="D27" i="14"/>
  <c r="C8" i="19"/>
  <c r="D19" i="15"/>
  <c r="X13" i="9"/>
  <c r="W7" i="15"/>
  <c r="W11" i="15" s="1"/>
  <c r="W6" i="15"/>
  <c r="X5" i="15"/>
  <c r="U7" i="19"/>
  <c r="V15" i="15"/>
  <c r="V20" i="15"/>
  <c r="V7" i="19" l="1"/>
  <c r="W20" i="15"/>
  <c r="W15" i="15"/>
  <c r="C11" i="19"/>
  <c r="D28" i="14"/>
  <c r="D34" i="8"/>
  <c r="D35" i="8" s="1"/>
  <c r="D29" i="14"/>
  <c r="D31" i="14" l="1"/>
  <c r="D23" i="12"/>
  <c r="D24" i="12" s="1"/>
  <c r="E33" i="8"/>
  <c r="D33" i="14" l="1"/>
  <c r="D12" i="16"/>
  <c r="D11" i="16"/>
  <c r="D25" i="12"/>
  <c r="C10" i="19" l="1"/>
  <c r="D35" i="14"/>
  <c r="E32" i="14"/>
  <c r="E24" i="8"/>
  <c r="D5" i="12"/>
  <c r="D9" i="12" l="1"/>
  <c r="D18" i="16"/>
  <c r="E14" i="9"/>
  <c r="E25" i="8"/>
  <c r="D13" i="12" l="1"/>
  <c r="D27" i="12" s="1"/>
  <c r="D8" i="16"/>
  <c r="E15" i="9"/>
  <c r="E26" i="8"/>
  <c r="E21" i="9" l="1"/>
  <c r="E24" i="9" l="1"/>
  <c r="F22" i="9" s="1"/>
  <c r="E23" i="9"/>
  <c r="E27" i="9" l="1"/>
  <c r="E28" i="9" s="1"/>
  <c r="E29" i="9" s="1"/>
  <c r="E13" i="16" l="1"/>
  <c r="E17" i="15"/>
  <c r="E6" i="15"/>
  <c r="E30" i="9"/>
  <c r="E27" i="8" l="1"/>
  <c r="E7" i="15"/>
  <c r="E11" i="15" l="1"/>
  <c r="E19" i="16"/>
  <c r="E24" i="16"/>
  <c r="E30" i="8"/>
  <c r="D6" i="19" l="1"/>
  <c r="E5" i="14"/>
  <c r="E31" i="8"/>
  <c r="E10" i="16" s="1"/>
  <c r="D7" i="19"/>
  <c r="E15" i="15"/>
  <c r="E20" i="15"/>
  <c r="E12" i="15"/>
  <c r="B24" i="15" l="1"/>
  <c r="B10" i="3" s="1"/>
  <c r="E18" i="15"/>
  <c r="E15" i="14"/>
  <c r="E26" i="14" l="1"/>
  <c r="D8" i="19"/>
  <c r="E19" i="15"/>
  <c r="E27" i="14" l="1"/>
  <c r="D11" i="19" l="1"/>
  <c r="E28" i="14"/>
  <c r="E34" i="8"/>
  <c r="E35" i="8" s="1"/>
  <c r="E29" i="14" l="1"/>
  <c r="E23" i="12"/>
  <c r="E24" i="12" s="1"/>
  <c r="F33" i="8"/>
  <c r="E12" i="16" l="1"/>
  <c r="E11" i="16"/>
  <c r="E25" i="12"/>
  <c r="E31" i="14"/>
  <c r="E33" i="14" l="1"/>
  <c r="D10" i="19" l="1"/>
  <c r="F32" i="14"/>
  <c r="E35" i="14"/>
  <c r="E5" i="12"/>
  <c r="F24" i="8"/>
  <c r="F14" i="9" l="1"/>
  <c r="F25" i="8"/>
  <c r="E9" i="12"/>
  <c r="E18" i="16"/>
  <c r="E13" i="12" l="1"/>
  <c r="E27" i="12" s="1"/>
  <c r="E8" i="16"/>
  <c r="F26" i="8"/>
  <c r="F15" i="9"/>
  <c r="F21" i="9" l="1"/>
  <c r="F24" i="9" l="1"/>
  <c r="G22" i="9" s="1"/>
  <c r="F23" i="9"/>
  <c r="F27" i="9" l="1"/>
  <c r="F28" i="9" s="1"/>
  <c r="F29" i="9" s="1"/>
  <c r="F13" i="16" l="1"/>
  <c r="F17" i="15"/>
  <c r="F6" i="15"/>
  <c r="F30" i="9"/>
  <c r="F27" i="8" l="1"/>
  <c r="F7" i="15"/>
  <c r="F19" i="16" l="1"/>
  <c r="F24" i="16"/>
  <c r="F30" i="8"/>
  <c r="F11" i="15"/>
  <c r="E7" i="19" l="1"/>
  <c r="F15" i="15"/>
  <c r="F20" i="15"/>
  <c r="F12" i="15"/>
  <c r="E6" i="19"/>
  <c r="F5" i="14"/>
  <c r="F31" i="8"/>
  <c r="F10" i="16" s="1"/>
  <c r="F18" i="15" l="1"/>
  <c r="F15" i="14"/>
  <c r="F26" i="14" l="1"/>
  <c r="E8" i="19"/>
  <c r="F19" i="15"/>
  <c r="F27" i="14" l="1"/>
  <c r="E11" i="19" l="1"/>
  <c r="F28" i="14"/>
  <c r="F34" i="8" s="1"/>
  <c r="F35" i="8" s="1"/>
  <c r="F23" i="12" l="1"/>
  <c r="F24" i="12" s="1"/>
  <c r="G33" i="8"/>
  <c r="F29" i="14"/>
  <c r="F31" i="14" l="1"/>
  <c r="F12" i="16"/>
  <c r="F11" i="16"/>
  <c r="F25" i="12"/>
  <c r="F33" i="14" l="1"/>
  <c r="E10" i="19" l="1"/>
  <c r="G32" i="14"/>
  <c r="F35" i="14"/>
  <c r="G24" i="8"/>
  <c r="F5" i="12"/>
  <c r="F9" i="12" l="1"/>
  <c r="F18" i="16"/>
  <c r="G14" i="9"/>
  <c r="G25" i="8"/>
  <c r="G26" i="8" l="1"/>
  <c r="G15" i="9"/>
  <c r="F13" i="12"/>
  <c r="F27" i="12" s="1"/>
  <c r="F8" i="16"/>
  <c r="G21" i="9" l="1"/>
  <c r="G23" i="9" l="1"/>
  <c r="G24" i="9"/>
  <c r="H22" i="9" s="1"/>
  <c r="G27" i="9" l="1"/>
  <c r="G28" i="9" s="1"/>
  <c r="G29" i="9" s="1"/>
  <c r="G30" i="9" s="1"/>
  <c r="G27" i="8" l="1"/>
  <c r="G13" i="16"/>
  <c r="G6" i="15"/>
  <c r="G7" i="15" s="1"/>
  <c r="G17" i="15"/>
  <c r="G11" i="15" l="1"/>
  <c r="G19" i="16"/>
  <c r="G24" i="16"/>
  <c r="G30" i="8"/>
  <c r="F6" i="19" l="1"/>
  <c r="G5" i="14"/>
  <c r="G31" i="8"/>
  <c r="G10" i="16" s="1"/>
  <c r="F7" i="19"/>
  <c r="G20" i="15"/>
  <c r="G15" i="15"/>
  <c r="G12" i="15"/>
  <c r="G18" i="15" l="1"/>
  <c r="G15" i="14"/>
  <c r="G26" i="14" l="1"/>
  <c r="F8" i="19"/>
  <c r="G19" i="15"/>
  <c r="G27" i="14" l="1"/>
  <c r="F11" i="19" l="1"/>
  <c r="G28" i="14"/>
  <c r="G34" i="8" s="1"/>
  <c r="G35" i="8" s="1"/>
  <c r="H33" i="8" l="1"/>
  <c r="G23" i="12"/>
  <c r="G24" i="12" s="1"/>
  <c r="G29" i="14"/>
  <c r="G31" i="14" s="1"/>
  <c r="G33" i="14" l="1"/>
  <c r="G12" i="16"/>
  <c r="G11" i="16"/>
  <c r="G25" i="12"/>
  <c r="F10" i="19" l="1"/>
  <c r="H32" i="14"/>
  <c r="G35" i="14"/>
  <c r="G5" i="12"/>
  <c r="H24" i="8"/>
  <c r="G9" i="12" l="1"/>
  <c r="G18" i="16"/>
  <c r="H14" i="9"/>
  <c r="H25" i="8"/>
  <c r="H26" i="8" l="1"/>
  <c r="H15" i="9"/>
  <c r="H21" i="9" s="1"/>
  <c r="G13" i="12"/>
  <c r="G27" i="12" s="1"/>
  <c r="G8" i="16"/>
  <c r="H24" i="9" l="1"/>
  <c r="I22" i="9" s="1"/>
  <c r="H23" i="9"/>
  <c r="H27" i="9" l="1"/>
  <c r="H28" i="9" s="1"/>
  <c r="H29" i="9" s="1"/>
  <c r="H30" i="9"/>
  <c r="H27" i="8" s="1"/>
  <c r="H19" i="16" l="1"/>
  <c r="H24" i="16"/>
  <c r="H30" i="8"/>
  <c r="H13" i="16"/>
  <c r="H17" i="15"/>
  <c r="H6" i="15"/>
  <c r="H7" i="15" s="1"/>
  <c r="H11" i="15" s="1"/>
  <c r="G7" i="19" l="1"/>
  <c r="H20" i="15"/>
  <c r="H15" i="15"/>
  <c r="H18" i="15" s="1"/>
  <c r="H12" i="15"/>
  <c r="G6" i="19"/>
  <c r="H5" i="14"/>
  <c r="H15" i="14" s="1"/>
  <c r="H31" i="8"/>
  <c r="H10" i="16" s="1"/>
  <c r="G8" i="19" l="1"/>
  <c r="H19" i="15"/>
  <c r="H26" i="14"/>
  <c r="H27" i="14" l="1"/>
  <c r="G11" i="19" l="1"/>
  <c r="H28" i="14"/>
  <c r="H34" i="8"/>
  <c r="H35" i="8" s="1"/>
  <c r="H29" i="14"/>
  <c r="H31" i="14" s="1"/>
  <c r="H33" i="14" s="1"/>
  <c r="G10" i="19" l="1"/>
  <c r="H35" i="14"/>
  <c r="I32" i="14"/>
  <c r="I24" i="8"/>
  <c r="H5" i="12"/>
  <c r="H9" i="12" s="1"/>
  <c r="H23" i="12"/>
  <c r="H24" i="12" s="1"/>
  <c r="I33" i="8"/>
  <c r="I14" i="9" l="1"/>
  <c r="I15" i="9" s="1"/>
  <c r="I21" i="9" s="1"/>
  <c r="I25" i="8"/>
  <c r="H18" i="16"/>
  <c r="H12" i="16"/>
  <c r="H11" i="16"/>
  <c r="H25" i="12"/>
  <c r="H13" i="12"/>
  <c r="H27" i="12" s="1"/>
  <c r="H8" i="16"/>
  <c r="I26" i="8" l="1"/>
  <c r="I24" i="9"/>
  <c r="J22" i="9" s="1"/>
  <c r="I23" i="9"/>
  <c r="I27" i="9" l="1"/>
  <c r="I28" i="9" s="1"/>
  <c r="I29" i="9" s="1"/>
  <c r="I30" i="9" s="1"/>
  <c r="I27" i="8" s="1"/>
  <c r="I19" i="16" l="1"/>
  <c r="I24" i="16"/>
  <c r="I30" i="8"/>
  <c r="I13" i="16"/>
  <c r="I17" i="15"/>
  <c r="I6" i="15"/>
  <c r="I7" i="15" s="1"/>
  <c r="I11" i="15" s="1"/>
  <c r="H6" i="19" l="1"/>
  <c r="I5" i="14"/>
  <c r="I15" i="14" s="1"/>
  <c r="I31" i="8"/>
  <c r="I10" i="16" s="1"/>
  <c r="H7" i="19"/>
  <c r="I15" i="15"/>
  <c r="I18" i="15" s="1"/>
  <c r="I20" i="15"/>
  <c r="I12" i="15"/>
  <c r="I26" i="14" l="1"/>
  <c r="I27" i="14" s="1"/>
  <c r="H8" i="19"/>
  <c r="I19" i="15"/>
  <c r="H11" i="19" l="1"/>
  <c r="I28" i="14"/>
  <c r="I34" i="8" s="1"/>
  <c r="I35" i="8" s="1"/>
  <c r="I23" i="12" l="1"/>
  <c r="I24" i="12" s="1"/>
  <c r="J33" i="8"/>
  <c r="I29" i="14"/>
  <c r="I31" i="14" s="1"/>
  <c r="I33" i="14" s="1"/>
  <c r="H10" i="19" l="1"/>
  <c r="J32" i="14"/>
  <c r="I35" i="14"/>
  <c r="I5" i="12"/>
  <c r="I9" i="12" s="1"/>
  <c r="J24" i="8"/>
  <c r="I12" i="16"/>
  <c r="I11" i="16"/>
  <c r="I25" i="12"/>
  <c r="I13" i="12" l="1"/>
  <c r="I27" i="12" s="1"/>
  <c r="I8" i="16"/>
  <c r="I18" i="16"/>
  <c r="J14" i="9"/>
  <c r="J15" i="9" s="1"/>
  <c r="J21" i="9" s="1"/>
  <c r="J25" i="8"/>
  <c r="J26" i="8" l="1"/>
  <c r="J24" i="9"/>
  <c r="K22" i="9" s="1"/>
  <c r="J23" i="9"/>
  <c r="J27" i="9" l="1"/>
  <c r="J28" i="9" s="1"/>
  <c r="J29" i="9" s="1"/>
  <c r="J13" i="16" l="1"/>
  <c r="J17" i="15"/>
  <c r="J6" i="15"/>
  <c r="J7" i="15" s="1"/>
  <c r="J11" i="15" s="1"/>
  <c r="J30" i="9"/>
  <c r="J27" i="8" s="1"/>
  <c r="J19" i="16" l="1"/>
  <c r="J24" i="16"/>
  <c r="J30" i="8"/>
  <c r="I7" i="19"/>
  <c r="J20" i="15"/>
  <c r="J15" i="15"/>
  <c r="J18" i="15" s="1"/>
  <c r="J12" i="15"/>
  <c r="I8" i="19" l="1"/>
  <c r="J19" i="15"/>
  <c r="I6" i="19"/>
  <c r="J5" i="14"/>
  <c r="J15" i="14" s="1"/>
  <c r="J31" i="8"/>
  <c r="J10" i="16" s="1"/>
  <c r="J26" i="14" l="1"/>
  <c r="J27" i="14" s="1"/>
  <c r="I11" i="19" l="1"/>
  <c r="J28" i="14"/>
  <c r="J29" i="14" s="1"/>
  <c r="J31" i="14" s="1"/>
  <c r="J33" i="14" s="1"/>
  <c r="J34" i="8"/>
  <c r="J35" i="8" s="1"/>
  <c r="I10" i="19" l="1"/>
  <c r="J35" i="14"/>
  <c r="K32" i="14"/>
  <c r="K24" i="8"/>
  <c r="J5" i="12"/>
  <c r="J9" i="12" s="1"/>
  <c r="J23" i="12"/>
  <c r="J24" i="12" s="1"/>
  <c r="K33" i="8"/>
  <c r="K14" i="9" l="1"/>
  <c r="K15" i="9" s="1"/>
  <c r="K21" i="9" s="1"/>
  <c r="K25" i="8"/>
  <c r="J12" i="16"/>
  <c r="J18" i="16"/>
  <c r="J11" i="16"/>
  <c r="J25" i="12"/>
  <c r="J13" i="12"/>
  <c r="J27" i="12" s="1"/>
  <c r="J8" i="16"/>
  <c r="K26" i="8" l="1"/>
  <c r="K23" i="9"/>
  <c r="K24" i="9"/>
  <c r="L22" i="9" s="1"/>
  <c r="K27" i="9" l="1"/>
  <c r="K28" i="9" s="1"/>
  <c r="K29" i="9" s="1"/>
  <c r="K30" i="9"/>
  <c r="K27" i="8" s="1"/>
  <c r="K19" i="16" l="1"/>
  <c r="K30" i="8"/>
  <c r="K24" i="16"/>
  <c r="K13" i="16"/>
  <c r="K17" i="15"/>
  <c r="K6" i="15"/>
  <c r="K7" i="15" s="1"/>
  <c r="K11" i="15" s="1"/>
  <c r="J7" i="19" l="1"/>
  <c r="K20" i="15"/>
  <c r="K15" i="15"/>
  <c r="K18" i="15" s="1"/>
  <c r="K12" i="15"/>
  <c r="J6" i="19"/>
  <c r="K5" i="14"/>
  <c r="K15" i="14" s="1"/>
  <c r="K31" i="8"/>
  <c r="K10" i="16" s="1"/>
  <c r="J8" i="19" l="1"/>
  <c r="K19" i="15"/>
  <c r="K26" i="14"/>
  <c r="K27" i="14" s="1"/>
  <c r="J11" i="19" l="1"/>
  <c r="K28" i="14"/>
  <c r="K29" i="14" s="1"/>
  <c r="K31" i="14" s="1"/>
  <c r="K33" i="14" s="1"/>
  <c r="K34" i="8"/>
  <c r="K35" i="8" s="1"/>
  <c r="J10" i="19" l="1"/>
  <c r="L32" i="14"/>
  <c r="K35" i="14"/>
  <c r="K5" i="12"/>
  <c r="K9" i="12" s="1"/>
  <c r="L24" i="8"/>
  <c r="L33" i="8"/>
  <c r="K23" i="12"/>
  <c r="K24" i="12" s="1"/>
  <c r="K13" i="12" l="1"/>
  <c r="K8" i="16"/>
  <c r="K12" i="16"/>
  <c r="K18" i="16"/>
  <c r="K11" i="16"/>
  <c r="K25" i="12"/>
  <c r="L14" i="9"/>
  <c r="L15" i="9" s="1"/>
  <c r="L21" i="9" s="1"/>
  <c r="L25" i="8"/>
  <c r="L26" i="8" l="1"/>
  <c r="L24" i="9"/>
  <c r="M22" i="9" s="1"/>
  <c r="L23" i="9"/>
  <c r="K27" i="12"/>
  <c r="L27" i="9" l="1"/>
  <c r="L28" i="9" s="1"/>
  <c r="L29" i="9" s="1"/>
  <c r="L13" i="16" l="1"/>
  <c r="L17" i="15"/>
  <c r="L6" i="15"/>
  <c r="L7" i="15" s="1"/>
  <c r="L11" i="15" s="1"/>
  <c r="L30" i="9"/>
  <c r="L27" i="8" s="1"/>
  <c r="L19" i="16" l="1"/>
  <c r="L24" i="16"/>
  <c r="L30" i="8"/>
  <c r="K7" i="19"/>
  <c r="L20" i="15"/>
  <c r="L15" i="15"/>
  <c r="L18" i="15" s="1"/>
  <c r="L12" i="15"/>
  <c r="K8" i="19" l="1"/>
  <c r="L19" i="15"/>
  <c r="K6" i="19"/>
  <c r="L5" i="14"/>
  <c r="L15" i="14" s="1"/>
  <c r="L31" i="8"/>
  <c r="L10" i="16" s="1"/>
  <c r="L26" i="14" l="1"/>
  <c r="L27" i="14" s="1"/>
  <c r="K11" i="19" l="1"/>
  <c r="L28" i="14"/>
  <c r="L34" i="8"/>
  <c r="L35" i="8" s="1"/>
  <c r="L29" i="14"/>
  <c r="L31" i="14" s="1"/>
  <c r="L33" i="14" s="1"/>
  <c r="K10" i="19" l="1"/>
  <c r="L35" i="14"/>
  <c r="M32" i="14"/>
  <c r="M24" i="8"/>
  <c r="L5" i="12"/>
  <c r="L9" i="12" s="1"/>
  <c r="L23" i="12"/>
  <c r="L24" i="12" s="1"/>
  <c r="M33" i="8"/>
  <c r="M14" i="9" l="1"/>
  <c r="M15" i="9" s="1"/>
  <c r="M21" i="9" s="1"/>
  <c r="M25" i="8"/>
  <c r="L18" i="16"/>
  <c r="L12" i="16"/>
  <c r="L11" i="16"/>
  <c r="L25" i="12"/>
  <c r="L13" i="12"/>
  <c r="L27" i="12" s="1"/>
  <c r="L8" i="16"/>
  <c r="M26" i="8" l="1"/>
  <c r="M24" i="9"/>
  <c r="N22" i="9" s="1"/>
  <c r="M23" i="9"/>
  <c r="M27" i="9" l="1"/>
  <c r="M28" i="9" s="1"/>
  <c r="M29" i="9" s="1"/>
  <c r="M13" i="16" l="1"/>
  <c r="M17" i="15"/>
  <c r="M6" i="15"/>
  <c r="M30" i="9"/>
  <c r="M27" i="8" s="1"/>
  <c r="M19" i="16" l="1"/>
  <c r="M24" i="16"/>
  <c r="M30" i="8"/>
  <c r="M7" i="15"/>
  <c r="X6" i="15"/>
  <c r="M11" i="15" l="1"/>
  <c r="X7" i="15"/>
  <c r="L6" i="19"/>
  <c r="M5" i="14"/>
  <c r="M15" i="14" s="1"/>
  <c r="M31" i="8"/>
  <c r="M10" i="16" s="1"/>
  <c r="M26" i="14" l="1"/>
  <c r="M27" i="14" s="1"/>
  <c r="L7" i="19"/>
  <c r="M15" i="15"/>
  <c r="M20" i="15"/>
  <c r="X20" i="15" s="1"/>
  <c r="B23" i="15"/>
  <c r="B8" i="3" s="1"/>
  <c r="C22" i="17"/>
  <c r="E22" i="17"/>
  <c r="B22" i="17"/>
  <c r="F22" i="17"/>
  <c r="B21" i="15"/>
  <c r="X11" i="15"/>
  <c r="G22" i="17"/>
  <c r="H22" i="17"/>
  <c r="D22" i="17"/>
  <c r="M12" i="15"/>
  <c r="N12" i="15" s="1"/>
  <c r="O12" i="15" s="1"/>
  <c r="P12" i="15" s="1"/>
  <c r="Q12" i="15" s="1"/>
  <c r="R12" i="15" s="1"/>
  <c r="S12" i="15" s="1"/>
  <c r="T12" i="15" s="1"/>
  <c r="U12" i="15" s="1"/>
  <c r="V12" i="15" s="1"/>
  <c r="W12" i="15" s="1"/>
  <c r="M18" i="15" l="1"/>
  <c r="X15" i="15"/>
  <c r="F23" i="17"/>
  <c r="B23" i="17"/>
  <c r="E23" i="17"/>
  <c r="C23" i="17"/>
  <c r="G23" i="17"/>
  <c r="D23" i="17"/>
  <c r="B6" i="3"/>
  <c r="L11" i="19"/>
  <c r="M28" i="14"/>
  <c r="M29" i="14" s="1"/>
  <c r="M31" i="14" s="1"/>
  <c r="M33" i="14" s="1"/>
  <c r="L10" i="19" l="1"/>
  <c r="N32" i="14"/>
  <c r="M35" i="14"/>
  <c r="M5" i="12"/>
  <c r="M9" i="12" s="1"/>
  <c r="N24" i="8"/>
  <c r="M34" i="8"/>
  <c r="M35" i="8" s="1"/>
  <c r="L8" i="19"/>
  <c r="M19" i="15"/>
  <c r="M13" i="12" l="1"/>
  <c r="M8" i="16"/>
  <c r="M23" i="12"/>
  <c r="M24" i="12" s="1"/>
  <c r="N33" i="8"/>
  <c r="N14" i="9"/>
  <c r="N15" i="9" s="1"/>
  <c r="N21" i="9" s="1"/>
  <c r="N25" i="8"/>
  <c r="N24" i="9" l="1"/>
  <c r="O22" i="9" s="1"/>
  <c r="N23" i="9"/>
  <c r="M18" i="16"/>
  <c r="M12" i="16"/>
  <c r="M11" i="16"/>
  <c r="M25" i="12"/>
  <c r="M27" i="12"/>
  <c r="N27" i="9" l="1"/>
  <c r="N28" i="9" s="1"/>
  <c r="N29" i="9" s="1"/>
  <c r="N30" i="9" s="1"/>
  <c r="N27" i="8" s="1"/>
  <c r="N30" i="8" l="1"/>
  <c r="N24" i="16"/>
  <c r="N13" i="16"/>
  <c r="N17" i="15"/>
  <c r="N18" i="15" s="1"/>
  <c r="M8" i="19" l="1"/>
  <c r="N19" i="15"/>
  <c r="M6" i="19"/>
  <c r="N5" i="14"/>
  <c r="N15" i="14" s="1"/>
  <c r="N26" i="14" l="1"/>
  <c r="N27" i="14" s="1"/>
  <c r="M11" i="19" l="1"/>
  <c r="N28" i="14"/>
  <c r="N34" i="8" s="1"/>
  <c r="N35" i="8" s="1"/>
  <c r="N23" i="12" l="1"/>
  <c r="N24" i="12" s="1"/>
  <c r="O33" i="8"/>
  <c r="N29" i="14"/>
  <c r="N31" i="14" s="1"/>
  <c r="N33" i="14" s="1"/>
  <c r="M10" i="19" l="1"/>
  <c r="O32" i="14"/>
  <c r="N35" i="14"/>
  <c r="O24" i="8"/>
  <c r="N5" i="12"/>
  <c r="N9" i="12" s="1"/>
  <c r="N13" i="12" s="1"/>
  <c r="B9" i="18"/>
  <c r="N12" i="16"/>
  <c r="N18" i="16"/>
  <c r="N11" i="16"/>
  <c r="N25" i="12"/>
  <c r="O14" i="9" l="1"/>
  <c r="O15" i="9" s="1"/>
  <c r="O21" i="9" s="1"/>
  <c r="O25" i="8"/>
  <c r="N27" i="12"/>
  <c r="O23" i="9" l="1"/>
  <c r="O24" i="9"/>
  <c r="P22" i="9" s="1"/>
  <c r="O27" i="9" l="1"/>
  <c r="O28" i="9" s="1"/>
  <c r="O29" i="9" s="1"/>
  <c r="O30" i="9"/>
  <c r="O27" i="8" s="1"/>
  <c r="O24" i="16" l="1"/>
  <c r="O30" i="8"/>
  <c r="O13" i="16"/>
  <c r="O17" i="15"/>
  <c r="O18" i="15" s="1"/>
  <c r="N8" i="19" l="1"/>
  <c r="O19" i="15"/>
  <c r="N6" i="19"/>
  <c r="O5" i="14"/>
  <c r="O15" i="14" s="1"/>
  <c r="O26" i="14" l="1"/>
  <c r="O27" i="14" s="1"/>
  <c r="N11" i="19" l="1"/>
  <c r="O28" i="14"/>
  <c r="O29" i="14" s="1"/>
  <c r="O31" i="14" s="1"/>
  <c r="O33" i="14" s="1"/>
  <c r="O34" i="8"/>
  <c r="O35" i="8" s="1"/>
  <c r="N10" i="19" l="1"/>
  <c r="O35" i="14"/>
  <c r="P32" i="14"/>
  <c r="O5" i="12"/>
  <c r="O9" i="12" s="1"/>
  <c r="O13" i="12" s="1"/>
  <c r="P24" i="8"/>
  <c r="O23" i="12"/>
  <c r="O24" i="12" s="1"/>
  <c r="P33" i="8"/>
  <c r="O12" i="16" l="1"/>
  <c r="O11" i="16"/>
  <c r="O18" i="16"/>
  <c r="O25" i="12"/>
  <c r="O27" i="12" s="1"/>
  <c r="P14" i="9"/>
  <c r="P15" i="9" s="1"/>
  <c r="P21" i="9" s="1"/>
  <c r="P25" i="8"/>
  <c r="P24" i="9" l="1"/>
  <c r="Q22" i="9" s="1"/>
  <c r="P23" i="9"/>
  <c r="P27" i="9" l="1"/>
  <c r="P28" i="9" s="1"/>
  <c r="P29" i="9" s="1"/>
  <c r="P30" i="9"/>
  <c r="P27" i="8" s="1"/>
  <c r="P24" i="16" l="1"/>
  <c r="P30" i="8"/>
  <c r="P13" i="16"/>
  <c r="P17" i="15"/>
  <c r="P18" i="15" s="1"/>
  <c r="O8" i="19" l="1"/>
  <c r="P19" i="15"/>
  <c r="O6" i="19"/>
  <c r="P5" i="14"/>
  <c r="P15" i="14" s="1"/>
  <c r="P26" i="14" l="1"/>
  <c r="P27" i="14" s="1"/>
  <c r="O11" i="19" l="1"/>
  <c r="P28" i="14"/>
  <c r="P34" i="8" s="1"/>
  <c r="P35" i="8" s="1"/>
  <c r="P29" i="14"/>
  <c r="P31" i="14" s="1"/>
  <c r="P33" i="14" s="1"/>
  <c r="P23" i="12" l="1"/>
  <c r="P24" i="12" s="1"/>
  <c r="Q33" i="8"/>
  <c r="O10" i="19"/>
  <c r="P35" i="14"/>
  <c r="Q32" i="14"/>
  <c r="Q24" i="8"/>
  <c r="P5" i="12"/>
  <c r="P9" i="12" s="1"/>
  <c r="P13" i="12" s="1"/>
  <c r="Q14" i="9" l="1"/>
  <c r="Q15" i="9" s="1"/>
  <c r="Q21" i="9" s="1"/>
  <c r="Q25" i="8"/>
  <c r="P18" i="16"/>
  <c r="P12" i="16"/>
  <c r="P11" i="16"/>
  <c r="P25" i="12"/>
  <c r="P27" i="12" s="1"/>
  <c r="Q24" i="9" l="1"/>
  <c r="R22" i="9" s="1"/>
  <c r="Q23" i="9"/>
  <c r="Q27" i="9" l="1"/>
  <c r="Q28" i="9" s="1"/>
  <c r="Q29" i="9" s="1"/>
  <c r="Q30" i="9" s="1"/>
  <c r="Q27" i="8" s="1"/>
  <c r="Q30" i="8" l="1"/>
  <c r="Q24" i="16"/>
  <c r="Q13" i="16"/>
  <c r="Q17" i="15"/>
  <c r="Q18" i="15" s="1"/>
  <c r="P8" i="19" l="1"/>
  <c r="Q19" i="15"/>
  <c r="P6" i="19"/>
  <c r="Q5" i="14"/>
  <c r="Q15" i="14" s="1"/>
  <c r="Q26" i="14" l="1"/>
  <c r="Q27" i="14" s="1"/>
  <c r="P11" i="19" l="1"/>
  <c r="Q28" i="14"/>
  <c r="Q34" i="8"/>
  <c r="Q35" i="8" s="1"/>
  <c r="Q29" i="14"/>
  <c r="Q31" i="14" s="1"/>
  <c r="Q33" i="14" s="1"/>
  <c r="P10" i="19" l="1"/>
  <c r="R32" i="14"/>
  <c r="Q35" i="14"/>
  <c r="Q5" i="12"/>
  <c r="Q9" i="12" s="1"/>
  <c r="Q13" i="12" s="1"/>
  <c r="R24" i="8"/>
  <c r="Q23" i="12"/>
  <c r="Q24" i="12" s="1"/>
  <c r="R33" i="8"/>
  <c r="Q18" i="16" l="1"/>
  <c r="Q11" i="16"/>
  <c r="Q12" i="16"/>
  <c r="Q25" i="12"/>
  <c r="Q27" i="12" s="1"/>
  <c r="R14" i="9"/>
  <c r="R15" i="9" s="1"/>
  <c r="R21" i="9" s="1"/>
  <c r="R25" i="8"/>
  <c r="R24" i="9" l="1"/>
  <c r="S22" i="9" s="1"/>
  <c r="R23" i="9"/>
  <c r="R27" i="9" l="1"/>
  <c r="R28" i="9" s="1"/>
  <c r="R29" i="9" s="1"/>
  <c r="R13" i="16" l="1"/>
  <c r="R17" i="15"/>
  <c r="R18" i="15" s="1"/>
  <c r="R30" i="9"/>
  <c r="R27" i="8" s="1"/>
  <c r="R30" i="8" l="1"/>
  <c r="R24" i="16"/>
  <c r="Q8" i="19"/>
  <c r="R19" i="15"/>
  <c r="Q6" i="19" l="1"/>
  <c r="R5" i="14"/>
  <c r="R15" i="14" s="1"/>
  <c r="R26" i="14" l="1"/>
  <c r="R27" i="14" s="1"/>
  <c r="Q11" i="19" l="1"/>
  <c r="R28" i="14"/>
  <c r="R34" i="8"/>
  <c r="R35" i="8" s="1"/>
  <c r="R29" i="14"/>
  <c r="R31" i="14" s="1"/>
  <c r="R33" i="14" s="1"/>
  <c r="R23" i="12" l="1"/>
  <c r="R24" i="12" s="1"/>
  <c r="S33" i="8"/>
  <c r="Q10" i="19"/>
  <c r="S32" i="14"/>
  <c r="R35" i="14"/>
  <c r="S24" i="8"/>
  <c r="R5" i="12"/>
  <c r="R9" i="12" s="1"/>
  <c r="R13" i="12" s="1"/>
  <c r="S14" i="9" l="1"/>
  <c r="S15" i="9" s="1"/>
  <c r="S21" i="9" s="1"/>
  <c r="S25" i="8"/>
  <c r="R12" i="16"/>
  <c r="R18" i="16"/>
  <c r="R11" i="16"/>
  <c r="R25" i="12"/>
  <c r="R27" i="12" s="1"/>
  <c r="S23" i="9" l="1"/>
  <c r="S24" i="9"/>
  <c r="T22" i="9" s="1"/>
  <c r="S27" i="9" l="1"/>
  <c r="S28" i="9" s="1"/>
  <c r="S29" i="9" s="1"/>
  <c r="S30" i="9" s="1"/>
  <c r="S27" i="8" s="1"/>
  <c r="S24" i="16" l="1"/>
  <c r="S30" i="8"/>
  <c r="S13" i="16"/>
  <c r="S17" i="15"/>
  <c r="S18" i="15" s="1"/>
  <c r="R8" i="19" l="1"/>
  <c r="S19" i="15"/>
  <c r="R6" i="19"/>
  <c r="S5" i="14"/>
  <c r="S15" i="14" s="1"/>
  <c r="S26" i="14" l="1"/>
  <c r="S27" i="14" s="1"/>
  <c r="R11" i="19" l="1"/>
  <c r="S28" i="14"/>
  <c r="S34" i="8" s="1"/>
  <c r="S35" i="8" s="1"/>
  <c r="T33" i="8" l="1"/>
  <c r="S23" i="12"/>
  <c r="S24" i="12" s="1"/>
  <c r="S29" i="14"/>
  <c r="S31" i="14" s="1"/>
  <c r="S33" i="14" s="1"/>
  <c r="S11" i="16" l="1"/>
  <c r="S12" i="16"/>
  <c r="S18" i="16"/>
  <c r="S25" i="12"/>
  <c r="R10" i="19"/>
  <c r="T32" i="14"/>
  <c r="S35" i="14"/>
  <c r="S5" i="12"/>
  <c r="S9" i="12" s="1"/>
  <c r="S13" i="12" s="1"/>
  <c r="S27" i="12" s="1"/>
  <c r="T24" i="8"/>
  <c r="T14" i="9" l="1"/>
  <c r="T15" i="9" s="1"/>
  <c r="T21" i="9" s="1"/>
  <c r="T25" i="8"/>
  <c r="T24" i="9" l="1"/>
  <c r="U22" i="9" s="1"/>
  <c r="T23" i="9"/>
  <c r="T27" i="9" l="1"/>
  <c r="T28" i="9" s="1"/>
  <c r="T29" i="9" s="1"/>
  <c r="T30" i="9" s="1"/>
  <c r="T27" i="8" s="1"/>
  <c r="T30" i="8" l="1"/>
  <c r="T24" i="16"/>
  <c r="T13" i="16"/>
  <c r="T17" i="15"/>
  <c r="T18" i="15" s="1"/>
  <c r="S8" i="19" l="1"/>
  <c r="T19" i="15"/>
  <c r="S6" i="19"/>
  <c r="T5" i="14"/>
  <c r="T15" i="14" s="1"/>
  <c r="T26" i="14" l="1"/>
  <c r="T27" i="14" s="1"/>
  <c r="S11" i="19" l="1"/>
  <c r="T28" i="14"/>
  <c r="T34" i="8"/>
  <c r="T35" i="8" s="1"/>
  <c r="T29" i="14"/>
  <c r="T31" i="14" s="1"/>
  <c r="T33" i="14" s="1"/>
  <c r="S10" i="19" l="1"/>
  <c r="T35" i="14"/>
  <c r="U32" i="14"/>
  <c r="U24" i="8"/>
  <c r="T5" i="12"/>
  <c r="T9" i="12" s="1"/>
  <c r="T13" i="12" s="1"/>
  <c r="T23" i="12"/>
  <c r="T24" i="12" s="1"/>
  <c r="U33" i="8"/>
  <c r="T18" i="16" l="1"/>
  <c r="T12" i="16"/>
  <c r="T11" i="16"/>
  <c r="T25" i="12"/>
  <c r="T27" i="12" s="1"/>
  <c r="U14" i="9"/>
  <c r="U15" i="9" s="1"/>
  <c r="U21" i="9" s="1"/>
  <c r="U25" i="8"/>
  <c r="U24" i="9" l="1"/>
  <c r="V22" i="9" s="1"/>
  <c r="U23" i="9"/>
  <c r="U27" i="9" l="1"/>
  <c r="U28" i="9" s="1"/>
  <c r="U29" i="9" s="1"/>
  <c r="U30" i="9" s="1"/>
  <c r="U27" i="8" s="1"/>
  <c r="U30" i="8" l="1"/>
  <c r="U24" i="16"/>
  <c r="U13" i="16"/>
  <c r="U17" i="15"/>
  <c r="U18" i="15" s="1"/>
  <c r="T8" i="19" l="1"/>
  <c r="U19" i="15"/>
  <c r="T6" i="19"/>
  <c r="U5" i="14"/>
  <c r="U15" i="14" s="1"/>
  <c r="U26" i="14" l="1"/>
  <c r="U27" i="14" s="1"/>
  <c r="T11" i="19" l="1"/>
  <c r="U28" i="14"/>
  <c r="U29" i="14" s="1"/>
  <c r="U31" i="14" s="1"/>
  <c r="U33" i="14" s="1"/>
  <c r="U34" i="8"/>
  <c r="U35" i="8" s="1"/>
  <c r="T10" i="19" l="1"/>
  <c r="V32" i="14"/>
  <c r="U35" i="14"/>
  <c r="U5" i="12"/>
  <c r="U9" i="12" s="1"/>
  <c r="U13" i="12" s="1"/>
  <c r="V24" i="8"/>
  <c r="U23" i="12"/>
  <c r="U24" i="12" s="1"/>
  <c r="V33" i="8"/>
  <c r="U11" i="16" l="1"/>
  <c r="U18" i="16"/>
  <c r="U12" i="16"/>
  <c r="U25" i="12"/>
  <c r="U27" i="12" s="1"/>
  <c r="V14" i="9"/>
  <c r="V15" i="9" s="1"/>
  <c r="V21" i="9" s="1"/>
  <c r="V25" i="8"/>
  <c r="V24" i="9" l="1"/>
  <c r="W22" i="9" s="1"/>
  <c r="V23" i="9"/>
  <c r="V27" i="9" l="1"/>
  <c r="V28" i="9" s="1"/>
  <c r="V29" i="9" s="1"/>
  <c r="V13" i="16" l="1"/>
  <c r="V17" i="15"/>
  <c r="V18" i="15" s="1"/>
  <c r="V30" i="9"/>
  <c r="V27" i="8" s="1"/>
  <c r="V24" i="16" l="1"/>
  <c r="V30" i="8"/>
  <c r="U8" i="19"/>
  <c r="V19" i="15"/>
  <c r="U6" i="19" l="1"/>
  <c r="V5" i="14"/>
  <c r="V15" i="14" s="1"/>
  <c r="V26" i="14" l="1"/>
  <c r="V27" i="14" s="1"/>
  <c r="U11" i="19" l="1"/>
  <c r="V28" i="14"/>
  <c r="V34" i="8"/>
  <c r="V35" i="8" s="1"/>
  <c r="V29" i="14"/>
  <c r="V31" i="14" s="1"/>
  <c r="V33" i="14" s="1"/>
  <c r="V23" i="12" l="1"/>
  <c r="V24" i="12" s="1"/>
  <c r="W33" i="8"/>
  <c r="U10" i="19"/>
  <c r="W32" i="14"/>
  <c r="V35" i="14"/>
  <c r="W24" i="8"/>
  <c r="V5" i="12"/>
  <c r="V9" i="12" s="1"/>
  <c r="V13" i="12" s="1"/>
  <c r="W14" i="9" l="1"/>
  <c r="W25" i="8"/>
  <c r="X24" i="8"/>
  <c r="V12" i="16"/>
  <c r="V18" i="16"/>
  <c r="V11" i="16"/>
  <c r="V25" i="12"/>
  <c r="V27" i="12" s="1"/>
  <c r="W15" i="9" l="1"/>
  <c r="X14" i="9"/>
  <c r="X25" i="8"/>
  <c r="W21" i="9" l="1"/>
  <c r="X15" i="9"/>
  <c r="W23" i="9" l="1"/>
  <c r="W24" i="9"/>
  <c r="X21" i="9"/>
  <c r="W27" i="9" l="1"/>
  <c r="W28" i="9" s="1"/>
  <c r="W29" i="9" s="1"/>
  <c r="W30" i="9" s="1"/>
  <c r="W27" i="8" l="1"/>
  <c r="X30" i="9"/>
  <c r="W13" i="16"/>
  <c r="W17" i="15"/>
  <c r="W18" i="15" l="1"/>
  <c r="X17" i="15"/>
  <c r="X27" i="8"/>
  <c r="B21" i="3" s="1"/>
  <c r="W30" i="8"/>
  <c r="W24" i="16"/>
  <c r="V6" i="19" l="1"/>
  <c r="W5" i="14"/>
  <c r="X30" i="8"/>
  <c r="E16" i="3" s="1"/>
  <c r="V8" i="19"/>
  <c r="B26" i="15"/>
  <c r="X18" i="15"/>
  <c r="B22" i="15"/>
  <c r="B7" i="3" s="1"/>
  <c r="W19" i="15"/>
  <c r="W15" i="14" l="1"/>
  <c r="X5" i="14"/>
  <c r="X15" i="14" l="1"/>
  <c r="W26" i="14"/>
  <c r="W27" i="14" l="1"/>
  <c r="X26" i="14"/>
  <c r="V11" i="19" l="1"/>
  <c r="W28" i="14"/>
  <c r="X28" i="14" s="1"/>
  <c r="B25" i="3" s="1"/>
  <c r="B26" i="3" s="1"/>
  <c r="X27" i="14"/>
  <c r="E18" i="3" s="1"/>
  <c r="W29" i="14" l="1"/>
  <c r="W34" i="8"/>
  <c r="W35" i="8" s="1"/>
  <c r="W23" i="12" s="1"/>
  <c r="W24" i="12" s="1"/>
  <c r="X29" i="14" l="1"/>
  <c r="W31" i="14"/>
  <c r="W11" i="16"/>
  <c r="W12" i="16"/>
  <c r="W25" i="12"/>
  <c r="X31" i="14" l="1"/>
  <c r="W33" i="14"/>
  <c r="V10" i="19" l="1"/>
  <c r="W35" i="14"/>
  <c r="E22" i="3" s="1"/>
  <c r="W5" i="12"/>
  <c r="B5" i="18"/>
  <c r="W9" i="12" l="1"/>
  <c r="W13" i="12" s="1"/>
  <c r="W27" i="12" s="1"/>
  <c r="W18" i="16"/>
  <c r="E21" i="3" l="1"/>
  <c r="B4" i="18"/>
  <c r="B14" i="18" s="1"/>
</calcChain>
</file>

<file path=xl/sharedStrings.xml><?xml version="1.0" encoding="utf-8"?>
<sst xmlns="http://schemas.openxmlformats.org/spreadsheetml/2006/main" count="1305" uniqueCount="691">
  <si>
    <t>GOLD MINE INVESTMENT – SOUTH AFRICA</t>
  </si>
  <si>
    <t>Financial Model – Table of Contents</t>
  </si>
  <si>
    <t>Version 2.1 | February 2026 | Currency: ZAR</t>
  </si>
  <si>
    <t>Sheet</t>
  </si>
  <si>
    <t>Purpose</t>
  </si>
  <si>
    <t>Key Outputs</t>
  </si>
  <si>
    <t>Assumptions</t>
  </si>
  <si>
    <t>All input parameters (blue = editable)</t>
  </si>
  <si>
    <t>Gold price, costs, financing, tax rates</t>
  </si>
  <si>
    <t>Executive Summary</t>
  </si>
  <si>
    <t>One-page investment overview</t>
  </si>
  <si>
    <t>IRR, NPV, lifetime financials</t>
  </si>
  <si>
    <t>Operations</t>
  </si>
  <si>
    <t>Production schedule &amp; cost drivers</t>
  </si>
  <si>
    <t>Ore milled, gold recovered, cost inflation</t>
  </si>
  <si>
    <t>Income Statement</t>
  </si>
  <si>
    <t>Full P&amp;L with SA-specific costs</t>
  </si>
  <si>
    <t>Revenue → EBITDA → EBT → Net Income</t>
  </si>
  <si>
    <t>Fixed Assets</t>
  </si>
  <si>
    <t>CAPEX schedule &amp; depreciation</t>
  </si>
  <si>
    <t>NBV, accumulated depreciation, salvage</t>
  </si>
  <si>
    <t>Exploration</t>
  </si>
  <si>
    <t>Exploration cost amortization</t>
  </si>
  <si>
    <t>Net exploration asset value</t>
  </si>
  <si>
    <t>Balance Sheet</t>
  </si>
  <si>
    <t>Assets, liabilities, equity</t>
  </si>
  <si>
    <t>Balance check (must = 0)</t>
  </si>
  <si>
    <t>Debt Schedule</t>
  </si>
  <si>
    <t>Senior + Mezzanine debt service</t>
  </si>
  <si>
    <t>Drawdown, repayment, interest, outstanding</t>
  </si>
  <si>
    <t>Cash Flow</t>
  </si>
  <si>
    <t>CFO + CFI + CFF with dividend model</t>
  </si>
  <si>
    <t>Cash sweep, covenant tests</t>
  </si>
  <si>
    <t>FCF Analysis</t>
  </si>
  <si>
    <t>FCFF &amp; FCFE with valuation</t>
  </si>
  <si>
    <t>Project IRR, Equity IRR, NPV</t>
  </si>
  <si>
    <t>KPIs</t>
  </si>
  <si>
    <t>Financial ratios &amp; performance</t>
  </si>
  <si>
    <t>DSCR, AISC, margins, returns</t>
  </si>
  <si>
    <t>SA Tax Computation</t>
  </si>
  <si>
    <t>Gold mining tax (y=34−170/x)</t>
  </si>
  <si>
    <t>s36 deduction, deferred tax, tax losses</t>
  </si>
  <si>
    <t>Sensitivity Analysis</t>
  </si>
  <si>
    <t>Impact of key variable changes</t>
  </si>
  <si>
    <t>NPV by discount rate, price, grade</t>
  </si>
  <si>
    <t>Checks</t>
  </si>
  <si>
    <t>Automated model integrity tests</t>
  </si>
  <si>
    <t>Balance, cash, debt, tax checks</t>
  </si>
  <si>
    <t>Charts</t>
  </si>
  <si>
    <t>Data for charting (create in Excel)</t>
  </si>
  <si>
    <t>Revenue, EBITDA, cash flow profiles</t>
  </si>
  <si>
    <t>Precious Metals</t>
  </si>
  <si>
    <t>Ag, Pt, Pd, Rh production &amp; revenue from ore</t>
  </si>
  <si>
    <t>Production kg/oz, Revenue ZAR</t>
  </si>
  <si>
    <t>Base Metals</t>
  </si>
  <si>
    <t>Cu, Ni, Zn, Cr, Mn, Fe, Co, U₃O₈ production &amp; revenue</t>
  </si>
  <si>
    <t>Production t/kg, Revenue ZAR</t>
  </si>
  <si>
    <t>By-product Revenue</t>
  </si>
  <si>
    <t>Consolidated net by-product revenue, AISC credit</t>
  </si>
  <si>
    <t>Net revenue, USD/oz credit, integration guide</t>
  </si>
  <si>
    <t>Black text</t>
  </si>
  <si>
    <t>Formulas and calculations</t>
  </si>
  <si>
    <t>Green text</t>
  </si>
  <si>
    <t>Cross-sheet references / links</t>
  </si>
  <si>
    <t>SA-SPECIFIC TAX &amp; REGULATORY FEATURES</t>
  </si>
  <si>
    <t>Gold Mining Tax</t>
  </si>
  <si>
    <t>y = 34 − 170/x formula per Income Tax Act</t>
  </si>
  <si>
    <t>s36 CAPEX Deduction</t>
  </si>
  <si>
    <t>100% deduction of qualifying mining CAPEX in year incurred</t>
  </si>
  <si>
    <t>MPRRA Mining Royalty</t>
  </si>
  <si>
    <t>Rate = 0.5 + (EBIT / Gross Sales × 12.5), capped 0.5%–5%</t>
  </si>
  <si>
    <t>Dividends WHT</t>
  </si>
  <si>
    <t>20% withholding tax on dividends (DTA-dependent)</t>
  </si>
  <si>
    <t>Skills Dev. Levy</t>
  </si>
  <si>
    <t>1% of payroll costs</t>
  </si>
  <si>
    <t>Carbon Tax</t>
  </si>
  <si>
    <t>SA Environmental Levy per CO2 intensity with 60% allowance</t>
  </si>
  <si>
    <t>BEE / Mining Charter</t>
  </si>
  <si>
    <t>Broad-Based BEE compliance costs + SLP obligations</t>
  </si>
  <si>
    <t>NEMA Rehabilitation</t>
  </si>
  <si>
    <t>Mandatory environmental rehabilitation fund provision</t>
  </si>
  <si>
    <t>Deferred Tax</t>
  </si>
  <si>
    <t>Temporary difference: s36 100% vs accounting straight-line depreciation</t>
  </si>
  <si>
    <t>Gold Mine Investment – South Africa</t>
  </si>
  <si>
    <t>All amounts in ZAR (South African Rand)</t>
  </si>
  <si>
    <t>General Assumptions</t>
  </si>
  <si>
    <t>Net Working Capital</t>
  </si>
  <si>
    <t>Currency</t>
  </si>
  <si>
    <t>ZAR</t>
  </si>
  <si>
    <t>Days Receivables (Days Sales)</t>
  </si>
  <si>
    <t>First operational year</t>
  </si>
  <si>
    <t>Days Inventory (Days COGS)</t>
  </si>
  <si>
    <t>Forecast period (Years)</t>
  </si>
  <si>
    <t>Days Payables (Days COGS)</t>
  </si>
  <si>
    <t>Cost inflation (%)</t>
  </si>
  <si>
    <t>Other current assets (Days Sales)</t>
  </si>
  <si>
    <t>USD/ZAR exchange rate</t>
  </si>
  <si>
    <t>Other current liabilities (Days Sales)</t>
  </si>
  <si>
    <t>Exchange rate yearly change (%)</t>
  </si>
  <si>
    <t>South African Tax</t>
  </si>
  <si>
    <t>Gold Price</t>
  </si>
  <si>
    <t>Gold mining tax formula</t>
  </si>
  <si>
    <t>y=34-170/x</t>
  </si>
  <si>
    <t>International gold price (USD/oz)</t>
  </si>
  <si>
    <t xml:space="preserve">  where x = TI/GI × 100, y = tax rate %</t>
  </si>
  <si>
    <t>Yearly change in gold price (%)</t>
  </si>
  <si>
    <t>Standard corporate tax rate (%)</t>
  </si>
  <si>
    <t>Troy oz to grams</t>
  </si>
  <si>
    <t>Dividends withholding tax (%)</t>
  </si>
  <si>
    <t>Gold price (ZAR/g)</t>
  </si>
  <si>
    <t>Capital gains inclusion rate (%)</t>
  </si>
  <si>
    <t>Skills Development Levy (%)</t>
  </si>
  <si>
    <t>Mine Parameters</t>
  </si>
  <si>
    <t>Payroll as % of operating costs</t>
  </si>
  <si>
    <t>Mine Life (Years)</t>
  </si>
  <si>
    <t>First Year Operating Days (Days/Year)</t>
  </si>
  <si>
    <t>Sources of Financing</t>
  </si>
  <si>
    <t>%</t>
  </si>
  <si>
    <t>Normal Operations (Days/Year)</t>
  </si>
  <si>
    <t>Equity</t>
  </si>
  <si>
    <t>Last Year (Days/Year)</t>
  </si>
  <si>
    <t>Senior Debt (Term Loan)</t>
  </si>
  <si>
    <t>Mezzanine Debt</t>
  </si>
  <si>
    <t>Production</t>
  </si>
  <si>
    <t>Total</t>
  </si>
  <si>
    <t>Y1 Ore production per day (t/day)</t>
  </si>
  <si>
    <t>Y2 Ore production per day (t/day)</t>
  </si>
  <si>
    <t>Uses of Financing</t>
  </si>
  <si>
    <t>Y3+ Ore production per day (t/day)</t>
  </si>
  <si>
    <t>Initial CAPEX</t>
  </si>
  <si>
    <t>Ore grade (g/t)</t>
  </si>
  <si>
    <t>Mill recovery (%)</t>
  </si>
  <si>
    <t>Setup costs</t>
  </si>
  <si>
    <t>Waste stripping ratio (x)</t>
  </si>
  <si>
    <t>Initial NWC requirement</t>
  </si>
  <si>
    <t>Total Uses</t>
  </si>
  <si>
    <t>Operating Costs</t>
  </si>
  <si>
    <t>Mine operating cost (ZAR/t)</t>
  </si>
  <si>
    <t>Interest Rates</t>
  </si>
  <si>
    <t>Mill operating cost (ZAR/t)</t>
  </si>
  <si>
    <t>Senior Debt rate (%)</t>
  </si>
  <si>
    <t>Other fixed costs (ZAR/Year)</t>
  </si>
  <si>
    <t>Mezzanine rate (%)</t>
  </si>
  <si>
    <t>Royalties – SA MPRRA formula-based</t>
  </si>
  <si>
    <t>See IS</t>
  </si>
  <si>
    <t>Senior Debt tenor (Years)</t>
  </si>
  <si>
    <t>Mine efficiencies p.a. (%)</t>
  </si>
  <si>
    <t>Mezzanine tenor (Years)</t>
  </si>
  <si>
    <t>Mill efficiencies p.a. (%)</t>
  </si>
  <si>
    <t>Senior grace period (Years)</t>
  </si>
  <si>
    <t>Mezzanine – bullet repayment year</t>
  </si>
  <si>
    <t>SA Mining Royalty (MPRRA) – Refined Gold</t>
  </si>
  <si>
    <t>Formula: Rate = 0.5 + (EBIT / (Gross Sales × 12.5)) × 100</t>
  </si>
  <si>
    <t>Dividend Policy</t>
  </si>
  <si>
    <t>Minimum royalty rate (%)</t>
  </si>
  <si>
    <t>Dividend model</t>
  </si>
  <si>
    <t>Cash Sweep</t>
  </si>
  <si>
    <t>Maximum royalty rate (%)</t>
  </si>
  <si>
    <t>Min. target cash balance (ZAR)</t>
  </si>
  <si>
    <t>Dividend of Net Income (%)</t>
  </si>
  <si>
    <t>Exploration Costs</t>
  </si>
  <si>
    <t>Exploration costs (ZAR)</t>
  </si>
  <si>
    <t>Valuation</t>
  </si>
  <si>
    <t>Amortization period (Years)</t>
  </si>
  <si>
    <t>WACC / Discount rate (%)</t>
  </si>
  <si>
    <t>Capital Expenditure</t>
  </si>
  <si>
    <t>Mine investment (ZAR)</t>
  </si>
  <si>
    <t>Mill investment (ZAR)</t>
  </si>
  <si>
    <t>Setup &amp; infrastructure (ZAR)</t>
  </si>
  <si>
    <t>Total Initial CAPEX (ZAR)</t>
  </si>
  <si>
    <t>Maintenance CAPEX (ZAR/year)</t>
  </si>
  <si>
    <t>Mine overhaul (ZAR)</t>
  </si>
  <si>
    <t>Mine overhaul Year</t>
  </si>
  <si>
    <t>Days lost during overhaul</t>
  </si>
  <si>
    <t>Depreciation</t>
  </si>
  <si>
    <t>Depreciation method</t>
  </si>
  <si>
    <t>Straight-line</t>
  </si>
  <si>
    <t>Depreciation period (Years)</t>
  </si>
  <si>
    <t>Salvage value (% of initial)</t>
  </si>
  <si>
    <t>Note: SA s36 allows 100% CAPEX deduction</t>
  </si>
  <si>
    <t>Environmental Rehabilitation (NEMA)</t>
  </si>
  <si>
    <t>Total rehabilitation provision (ZAR)</t>
  </si>
  <si>
    <t>Annual contribution to rehab fund (ZAR)</t>
  </si>
  <si>
    <t>Rehab fund interest rate (%)</t>
  </si>
  <si>
    <t>Carbon Tax (SA Environmental Levy)</t>
  </si>
  <si>
    <t>Carbon tax rate (ZAR/t CO2)</t>
  </si>
  <si>
    <t>CO2 intensity (t CO2 per t ore)</t>
  </si>
  <si>
    <t>Carbon tax allowance (%)</t>
  </si>
  <si>
    <t>Net carbon tax rate (ZAR/t CO2)</t>
  </si>
  <si>
    <t>BEE / Mining Charter Compliance</t>
  </si>
  <si>
    <t>BEE compliance cost (% of Revenue)</t>
  </si>
  <si>
    <t>Community development (ZAR/year)</t>
  </si>
  <si>
    <t>Social &amp; Labour Plan (ZAR/year)</t>
  </si>
  <si>
    <t>Interest Income</t>
  </si>
  <si>
    <t>Interest on cash balance (%)</t>
  </si>
  <si>
    <t>SA s36 Mining CAPEX Deduction</t>
  </si>
  <si>
    <t>s36 CAPEX deduction rate (%)</t>
  </si>
  <si>
    <t>Note: SA allows 100% deduction of qualifying mining</t>
  </si>
  <si>
    <t>CAPEX in the year incurred (s36 ITA)</t>
  </si>
  <si>
    <t>WACC Build-up</t>
  </si>
  <si>
    <t>Risk-free rate (SA 10yr bond)</t>
  </si>
  <si>
    <t>Equity risk premium (SA)</t>
  </si>
  <si>
    <t>Beta (levered, gold mining)</t>
  </si>
  <si>
    <t>Country risk premium</t>
  </si>
  <si>
    <t>Small-cap / project premium</t>
  </si>
  <si>
    <t>Cost of Equity (Ke)</t>
  </si>
  <si>
    <t>Cost of Senior Debt (Kd)</t>
  </si>
  <si>
    <t>Cost of Mezzanine (Km)</t>
  </si>
  <si>
    <t>Tax shield (1-t)</t>
  </si>
  <si>
    <t>Equity weight</t>
  </si>
  <si>
    <t>Debt weight</t>
  </si>
  <si>
    <t>WACC (calculated)</t>
  </si>
  <si>
    <t>Debt Covenants</t>
  </si>
  <si>
    <t>Min DSCR for dividends</t>
  </si>
  <si>
    <t>Max Debt / EBITDA for dividends</t>
  </si>
  <si>
    <t>Lock-up DSCR</t>
  </si>
  <si>
    <t>── BY-PRODUCT METALS ──</t>
  </si>
  <si>
    <t>PRECIOUS METALS BY-PRODUCTS</t>
  </si>
  <si>
    <t>Set grade &amp; recovery to 0 for metals not in orebody</t>
  </si>
  <si>
    <t>Metal</t>
  </si>
  <si>
    <t>Price (USD/oz)</t>
  </si>
  <si>
    <t>Annual Δ</t>
  </si>
  <si>
    <t>Grade (g/t ore)</t>
  </si>
  <si>
    <t>Recovery (%)</t>
  </si>
  <si>
    <t>Notes</t>
  </si>
  <si>
    <t>Silver (Ag)</t>
  </si>
  <si>
    <t>Common by-product in Wits gold ores</t>
  </si>
  <si>
    <t>Platinum (Pt)</t>
  </si>
  <si>
    <t>Set grade &gt; 0 for PGM-bearing ores</t>
  </si>
  <si>
    <t>Palladium (Pd)</t>
  </si>
  <si>
    <t>Often accompanies Pt in UG2/Merensky</t>
  </si>
  <si>
    <t>Rhodium (Rh)</t>
  </si>
  <si>
    <t>Rare — only in specific PGM orebodies</t>
  </si>
  <si>
    <t>BASE METALS BY-PRODUCTS</t>
  </si>
  <si>
    <t>Grade in % of ore (enter as decimal: 0.15% = 0.0015)</t>
  </si>
  <si>
    <t>Price</t>
  </si>
  <si>
    <t>Grade (see unit)</t>
  </si>
  <si>
    <t>Price Unit</t>
  </si>
  <si>
    <t>Grade Unit</t>
  </si>
  <si>
    <t>Copper (Cu)</t>
  </si>
  <si>
    <t>USD/t</t>
  </si>
  <si>
    <t>% ore (0.15%=0.0015)</t>
  </si>
  <si>
    <t>Nickel (Ni)</t>
  </si>
  <si>
    <t>% ore</t>
  </si>
  <si>
    <t>Zinc (Zn)</t>
  </si>
  <si>
    <t>Chrome (Cr)</t>
  </si>
  <si>
    <t>Manganese (Mn)</t>
  </si>
  <si>
    <t>Iron Ore (Fe)</t>
  </si>
  <si>
    <t>Cobalt (Co)</t>
  </si>
  <si>
    <t>Uranium (U₃O₈)</t>
  </si>
  <si>
    <t>USD/lb</t>
  </si>
  <si>
    <t>kg/t ore</t>
  </si>
  <si>
    <t>By-product Cost Parameters</t>
  </si>
  <si>
    <t>Additional processing cost (ZAR/t ore)</t>
  </si>
  <si>
    <t>TC/RC deduction (% of gross by-product rev)</t>
  </si>
  <si>
    <t>SA Royalty on unrefined base metals (MPRRA %)</t>
  </si>
  <si>
    <t>Executive Summary &amp; Investment Case</t>
  </si>
  <si>
    <t>Key Operational Data</t>
  </si>
  <si>
    <t>Project IRR (FCFF)</t>
  </si>
  <si>
    <t>Gold Price (USD/oz)</t>
  </si>
  <si>
    <t>Equity IRR (FCFE)</t>
  </si>
  <si>
    <t>Gold Price (ZAR/g)</t>
  </si>
  <si>
    <t>NPV @ WACC</t>
  </si>
  <si>
    <t>Ore Grade (g/t)</t>
  </si>
  <si>
    <t>Mill Recovery (%)</t>
  </si>
  <si>
    <t>Payback Period (Years)</t>
  </si>
  <si>
    <t>Peak Production (t/day)</t>
  </si>
  <si>
    <t>Total Gold Produced (kg)</t>
  </si>
  <si>
    <t>Lifetime Financial Summary</t>
  </si>
  <si>
    <t>Total Project Costs</t>
  </si>
  <si>
    <t>Total Revenue</t>
  </si>
  <si>
    <t>Equity (60%)</t>
  </si>
  <si>
    <t>Total EBITDA</t>
  </si>
  <si>
    <t>Senior Debt (25%)</t>
  </si>
  <si>
    <t>Total Net Income</t>
  </si>
  <si>
    <t>Mezzanine (15%)</t>
  </si>
  <si>
    <t>Total CAPEX</t>
  </si>
  <si>
    <t>Senior rate / Mezz rate</t>
  </si>
  <si>
    <t>Total Dividends Paid</t>
  </si>
  <si>
    <t>Environmental Rehabilitation</t>
  </si>
  <si>
    <t>Mandatory NEMA provision</t>
  </si>
  <si>
    <t>Model Integrity</t>
  </si>
  <si>
    <t>SA Mining Royalties (MPRRA)</t>
  </si>
  <si>
    <t>Skills Development Levy</t>
  </si>
  <si>
    <t>Debt Repaid</t>
  </si>
  <si>
    <t>Total Tax &amp; Levies</t>
  </si>
  <si>
    <t>Financial Highlights (Lifetime)</t>
  </si>
  <si>
    <t>Risk-free (SA 10yr)</t>
  </si>
  <si>
    <t>ERP × Beta</t>
  </si>
  <si>
    <t>Country risk</t>
  </si>
  <si>
    <t>Small-cap premium</t>
  </si>
  <si>
    <t>Cost of Equity</t>
  </si>
  <si>
    <t>WACC</t>
  </si>
  <si>
    <t>── BY-PRODUCT METALS SUMMARY ──</t>
  </si>
  <si>
    <t>Default: Silver 1.5 g/t + Copper 0.15% enabled. All others set to 0 — edit in Assumptions.</t>
  </si>
  <si>
    <t>Silver (Ag) – Lifetime</t>
  </si>
  <si>
    <t>ZAR M</t>
  </si>
  <si>
    <t>Platinum (Pt) – Lifetime</t>
  </si>
  <si>
    <t>Palladium (Pd) – Lifetime</t>
  </si>
  <si>
    <t>Rhodium (Rh) – Lifetime</t>
  </si>
  <si>
    <t>Copper (Cu) – Lifetime</t>
  </si>
  <si>
    <t>Nickel (Ni) – Lifetime</t>
  </si>
  <si>
    <t>Other Base Metals – Lifetime</t>
  </si>
  <si>
    <t>Net By-product Revenue (lifetime)</t>
  </si>
  <si>
    <t>2025 F</t>
  </si>
  <si>
    <t>2026 F</t>
  </si>
  <si>
    <t>2027 F</t>
  </si>
  <si>
    <t>2028 F</t>
  </si>
  <si>
    <t>2029 F</t>
  </si>
  <si>
    <t>2030 F</t>
  </si>
  <si>
    <t>2031 F</t>
  </si>
  <si>
    <t>2032 F</t>
  </si>
  <si>
    <t>2033 F</t>
  </si>
  <si>
    <t>2034 F</t>
  </si>
  <si>
    <t>2035 F</t>
  </si>
  <si>
    <t>2036 F</t>
  </si>
  <si>
    <t>2037 F</t>
  </si>
  <si>
    <t>2038 F</t>
  </si>
  <si>
    <t>2039 F</t>
  </si>
  <si>
    <t>2040 F</t>
  </si>
  <si>
    <t>2041 F</t>
  </si>
  <si>
    <t>2042 F</t>
  </si>
  <si>
    <t>2043 F</t>
  </si>
  <si>
    <t>2044 F</t>
  </si>
  <si>
    <t>2045 F</t>
  </si>
  <si>
    <t>Installed ore production</t>
  </si>
  <si>
    <t>t/day</t>
  </si>
  <si>
    <t>Days lost (overhaul)</t>
  </si>
  <si>
    <t>Days</t>
  </si>
  <si>
    <t>Operational Days</t>
  </si>
  <si>
    <t>Ore production per day</t>
  </si>
  <si>
    <t>Ore milled</t>
  </si>
  <si>
    <t>tons</t>
  </si>
  <si>
    <t>Ore grade</t>
  </si>
  <si>
    <t>g/t</t>
  </si>
  <si>
    <t>Mill recovery</t>
  </si>
  <si>
    <t>Gold recovered</t>
  </si>
  <si>
    <t>kg</t>
  </si>
  <si>
    <t>Remaining Gold</t>
  </si>
  <si>
    <t>USD/oz</t>
  </si>
  <si>
    <t>USD/ZAR</t>
  </si>
  <si>
    <t>ZAR/g</t>
  </si>
  <si>
    <t>Waste stripping ratio</t>
  </si>
  <si>
    <t>x</t>
  </si>
  <si>
    <t>Waste per day</t>
  </si>
  <si>
    <t>Waste material</t>
  </si>
  <si>
    <t>Cost inflation (cum.)</t>
  </si>
  <si>
    <t>Mine operating cost (real)</t>
  </si>
  <si>
    <t>ZAR/t</t>
  </si>
  <si>
    <t>Mill operating cost (real)</t>
  </si>
  <si>
    <t>Other fixed costs</t>
  </si>
  <si>
    <t>Env. rehab contribution</t>
  </si>
  <si>
    <t>Precious Metals – By-product Production &amp; Revenue</t>
  </si>
  <si>
    <t>By-product recovery from gold ore processing — set grade to 0 for metals not present</t>
  </si>
  <si>
    <t>SILVER (Ag)</t>
  </si>
  <si>
    <t>Grade</t>
  </si>
  <si>
    <t>g/t ore</t>
  </si>
  <si>
    <t>Recovery</t>
  </si>
  <si>
    <t>Ag recovered</t>
  </si>
  <si>
    <t>troy oz</t>
  </si>
  <si>
    <t>Ag price</t>
  </si>
  <si>
    <t>Ag Revenue</t>
  </si>
  <si>
    <t>PLATINUM (Pt)</t>
  </si>
  <si>
    <t>Pt recovered</t>
  </si>
  <si>
    <t>Pt price</t>
  </si>
  <si>
    <t>Pt Revenue</t>
  </si>
  <si>
    <t>PALLADIUM (Pd)</t>
  </si>
  <si>
    <t>Pd recovered</t>
  </si>
  <si>
    <t>Pd price</t>
  </si>
  <si>
    <t>Pd Revenue</t>
  </si>
  <si>
    <t>RHODIUM (Rh)</t>
  </si>
  <si>
    <t>Rh recovered</t>
  </si>
  <si>
    <t>Rh price</t>
  </si>
  <si>
    <t>Rh Revenue</t>
  </si>
  <si>
    <t>TOTAL PRECIOUS METALS REVENUE</t>
  </si>
  <si>
    <t>Base Metals – By-product Production &amp; Revenue</t>
  </si>
  <si>
    <t>By-product recovery from ore processing — grade in fractional % (0.15% = 0.0015)</t>
  </si>
  <si>
    <t>COPPER (Cu)</t>
  </si>
  <si>
    <t>% ore (frac.)</t>
  </si>
  <si>
    <t>Cu recovered</t>
  </si>
  <si>
    <t>tonnes</t>
  </si>
  <si>
    <t>Cu price</t>
  </si>
  <si>
    <t>Cu Revenue</t>
  </si>
  <si>
    <t>NICKEL (Ni)</t>
  </si>
  <si>
    <t>Ni recovered</t>
  </si>
  <si>
    <t>Ni price</t>
  </si>
  <si>
    <t>Ni Revenue</t>
  </si>
  <si>
    <t>ZINC (Zn)</t>
  </si>
  <si>
    <t>Zn recovered</t>
  </si>
  <si>
    <t>Zn price</t>
  </si>
  <si>
    <t>Zn Revenue</t>
  </si>
  <si>
    <t>CHROME (Cr)</t>
  </si>
  <si>
    <t>Cr recovered</t>
  </si>
  <si>
    <t>Cr price</t>
  </si>
  <si>
    <t>Cr Revenue</t>
  </si>
  <si>
    <t>MANGANESE (Mn)</t>
  </si>
  <si>
    <t>Mn recovered</t>
  </si>
  <si>
    <t>Mn price</t>
  </si>
  <si>
    <t>Mn Revenue</t>
  </si>
  <si>
    <t>IRON ORE (Fe)</t>
  </si>
  <si>
    <t>Fe recovered</t>
  </si>
  <si>
    <t>Fe price</t>
  </si>
  <si>
    <t>Fe Revenue</t>
  </si>
  <si>
    <t>COBALT (Co)</t>
  </si>
  <si>
    <t>Co recovered</t>
  </si>
  <si>
    <t>Co price</t>
  </si>
  <si>
    <t>Co Revenue</t>
  </si>
  <si>
    <t>URANIUM (U₃O₈)</t>
  </si>
  <si>
    <t>U₃O₈ recovered</t>
  </si>
  <si>
    <t>U₃O₈ price</t>
  </si>
  <si>
    <t>U₃O₈ Revenue</t>
  </si>
  <si>
    <t>TOTAL BASE METALS REVENUE</t>
  </si>
  <si>
    <t>By-product Revenue Summary &amp; Integration</t>
  </si>
  <si>
    <t>Consolidates all by-product metals — net revenue feeds into Income Statement</t>
  </si>
  <si>
    <t>PRECIOUS METALS</t>
  </si>
  <si>
    <t>Total Precious Metals</t>
  </si>
  <si>
    <t>BASE METALS</t>
  </si>
  <si>
    <t>Total Base Metals</t>
  </si>
  <si>
    <t>GROSS BY-PRODUCT REVENUE</t>
  </si>
  <si>
    <t>DEDUCTIONS</t>
  </si>
  <si>
    <t>Additional processing costs</t>
  </si>
  <si>
    <t>TC/RC charges (treatment &amp; refining)</t>
  </si>
  <si>
    <t>SA Royalty on base metals (MPRRA)</t>
  </si>
  <si>
    <t>Total Deductions</t>
  </si>
  <si>
    <t>NET BY-PRODUCT REVENUE</t>
  </si>
  <si>
    <t>BY-PRODUCT CREDIT ANALYSIS</t>
  </si>
  <si>
    <t>By-product credit per oz Au</t>
  </si>
  <si>
    <t>By-product credit per kg Au</t>
  </si>
  <si>
    <t>ZAR/kg</t>
  </si>
  <si>
    <t>AISC net of by-product credits</t>
  </si>
  <si>
    <t>By-product as % of gold revenue</t>
  </si>
  <si>
    <t>── INTEGRATION INTO INCOME STATEMENT ──</t>
  </si>
  <si>
    <t>To integrate by-product revenue into the model:</t>
  </si>
  <si>
    <t xml:space="preserve">  Option A (Revenue approach): Add ='By-product Revenue'!{col}31 to IS Revenue (row 5)</t>
  </si>
  <si>
    <t xml:space="preserve">  Option B (Cost credit): Add ='By-product Revenue'!{col}31 as a negative cost in IS</t>
  </si>
  <si>
    <t xml:space="preserve">  Option C: Reference the net figure in FCF/NPV analysis as an additional cash flow</t>
  </si>
  <si>
    <t>By-product revenue is currently calculated but NOT automatically added to IS</t>
  </si>
  <si>
    <t>to preserve the integrity of the existing validated gold-only model.</t>
  </si>
  <si>
    <t>This allows scenario analysis: model with vs without by-products.</t>
  </si>
  <si>
    <t>Key cells:  Net By-product Revenue = Row 31</t>
  </si>
  <si>
    <t xml:space="preserve">            AISC net of credits = Row 36</t>
  </si>
  <si>
    <t xml:space="preserve">            By-product credit USD/oz = Row 34</t>
  </si>
  <si>
    <t>All amounts in ZAR</t>
  </si>
  <si>
    <t>Revenue</t>
  </si>
  <si>
    <t>Mining Costs</t>
  </si>
  <si>
    <t>Milling Costs</t>
  </si>
  <si>
    <t>Other Fixed Costs</t>
  </si>
  <si>
    <t>SA Mining Royalty (MPRRA)</t>
  </si>
  <si>
    <t xml:space="preserve">  Royalty Rate Applied</t>
  </si>
  <si>
    <t>BEE Compliance</t>
  </si>
  <si>
    <t>Community Dev. &amp; SLP</t>
  </si>
  <si>
    <t>Total Operating Costs</t>
  </si>
  <si>
    <t>EBITDA</t>
  </si>
  <si>
    <t xml:space="preserve">  EBITDA Margin</t>
  </si>
  <si>
    <t>Depreciation &amp; Amortization</t>
  </si>
  <si>
    <t>EBIT</t>
  </si>
  <si>
    <t xml:space="preserve">  EBIT Margin</t>
  </si>
  <si>
    <t>Gain/Loss on Asset Disposal</t>
  </si>
  <si>
    <t>Interest Expense</t>
  </si>
  <si>
    <t>EBT (Earnings Before Tax)</t>
  </si>
  <si>
    <t xml:space="preserve">  EBT Margin</t>
  </si>
  <si>
    <t>Gold Mining Tax (SA formula)</t>
  </si>
  <si>
    <t>Deferred Tax Movement</t>
  </si>
  <si>
    <t>Net Income</t>
  </si>
  <si>
    <t xml:space="preserve">  Net Income Margin</t>
  </si>
  <si>
    <t>Retained Earnings (opening)</t>
  </si>
  <si>
    <t>Dividends Paid (incl. WHT)</t>
  </si>
  <si>
    <t>Retained Earnings (closing)</t>
  </si>
  <si>
    <t>Gold Mining Tax (y=34-170/x) + s36 CAPEX Deduction + Tax Loss C/F</t>
  </si>
  <si>
    <t>Accounting P&amp;L</t>
  </si>
  <si>
    <t>Revenue (Gross Income)</t>
  </si>
  <si>
    <t>Less: Operating Costs</t>
  </si>
  <si>
    <t>Less: SA Mining Royalty</t>
  </si>
  <si>
    <t>Less: Carbon Tax</t>
  </si>
  <si>
    <t>Less: BEE / SLP Costs</t>
  </si>
  <si>
    <t>Less: Accounting Depreciation</t>
  </si>
  <si>
    <t>Less: Interest Expense</t>
  </si>
  <si>
    <t>Add: Interest Income</t>
  </si>
  <si>
    <t>Accounting EBT</t>
  </si>
  <si>
    <t>Tax Adjustments (s36)</t>
  </si>
  <si>
    <t>Add back: Accounting Depreciation</t>
  </si>
  <si>
    <t>Less: s36 CAPEX deduction (100%)</t>
  </si>
  <si>
    <t>Less: Exploration amortization (tax)</t>
  </si>
  <si>
    <t>Adjusted Taxable Income (pre-loss)</t>
  </si>
  <si>
    <t>Tax loss brought forward</t>
  </si>
  <si>
    <t>Taxable Income</t>
  </si>
  <si>
    <t>Tax loss carried forward</t>
  </si>
  <si>
    <t>Gold Mining Tax Calculation</t>
  </si>
  <si>
    <t>x = TI / GI × 100</t>
  </si>
  <si>
    <t>y = 34 - 170/x (tax rate)</t>
  </si>
  <si>
    <t>Effective rate (capped at 34%)</t>
  </si>
  <si>
    <t>Accounting depreciation (cumulative)</t>
  </si>
  <si>
    <t>Tax depreciation (s36, cumulative)</t>
  </si>
  <si>
    <t>Temporary difference</t>
  </si>
  <si>
    <t>Deferred tax liability (27%)</t>
  </si>
  <si>
    <t>Deferred tax movement</t>
  </si>
  <si>
    <t>Fixed Assets &amp; Depreciation</t>
  </si>
  <si>
    <t>Mine Overhaul</t>
  </si>
  <si>
    <t>Maintenance CAPEX</t>
  </si>
  <si>
    <t>Depreciation by Vintage</t>
  </si>
  <si>
    <t>Dep: 2025</t>
  </si>
  <si>
    <t>Dep: 2026</t>
  </si>
  <si>
    <t>Dep: 2027</t>
  </si>
  <si>
    <t>Dep: 2028</t>
  </si>
  <si>
    <t>Dep: 2029</t>
  </si>
  <si>
    <t>Dep: 2030</t>
  </si>
  <si>
    <t>Dep: 2031</t>
  </si>
  <si>
    <t>Dep: 2032</t>
  </si>
  <si>
    <t>Dep: 2033</t>
  </si>
  <si>
    <t>Dep: 2034</t>
  </si>
  <si>
    <t>Dep: 2035</t>
  </si>
  <si>
    <t>Dep: 2036</t>
  </si>
  <si>
    <t>Dep: 2037</t>
  </si>
  <si>
    <t>Dep: 2038</t>
  </si>
  <si>
    <t>Dep: 2039</t>
  </si>
  <si>
    <t>Dep: 2040</t>
  </si>
  <si>
    <t>Dep: 2041</t>
  </si>
  <si>
    <t>Dep: 2042</t>
  </si>
  <si>
    <t>Dep: 2043</t>
  </si>
  <si>
    <t>Dep: 2044</t>
  </si>
  <si>
    <t>Dep: 2045</t>
  </si>
  <si>
    <t>Total Depreciation</t>
  </si>
  <si>
    <t>Asset Sale (Year 10)</t>
  </si>
  <si>
    <t>Loss on Disposal</t>
  </si>
  <si>
    <t>Fixed Assets (Net)</t>
  </si>
  <si>
    <t>Exploration CAPEX</t>
  </si>
  <si>
    <t>Amortization</t>
  </si>
  <si>
    <t>Net Exploration Costs</t>
  </si>
  <si>
    <t>ASSETS</t>
  </si>
  <si>
    <t>Cash &amp; Equivalents</t>
  </si>
  <si>
    <t>Receivables</t>
  </si>
  <si>
    <t>Inventory</t>
  </si>
  <si>
    <t>Other Current Assets</t>
  </si>
  <si>
    <t>Total Current Assets</t>
  </si>
  <si>
    <t>Environmental Rehab Fund</t>
  </si>
  <si>
    <t>Exploration Costs (Net)</t>
  </si>
  <si>
    <t>Total Assets</t>
  </si>
  <si>
    <t>LIABILITIES &amp; EQUITY</t>
  </si>
  <si>
    <t>Payables</t>
  </si>
  <si>
    <t>Other Current Liabilities</t>
  </si>
  <si>
    <t>Short-term Debt</t>
  </si>
  <si>
    <t>Total Current Liabilities</t>
  </si>
  <si>
    <t>Long-term Debt</t>
  </si>
  <si>
    <t>Deferred Tax Liability</t>
  </si>
  <si>
    <t>Total Liabilities</t>
  </si>
  <si>
    <t>Share Capital</t>
  </si>
  <si>
    <t>Retained Earnings</t>
  </si>
  <si>
    <t>Total Equity</t>
  </si>
  <si>
    <t>Total Liabilities &amp; Equity</t>
  </si>
  <si>
    <t>Balance Sheet Check (Assets - L&amp;E)</t>
  </si>
  <si>
    <t>Senior Debt – Interest</t>
  </si>
  <si>
    <t>Mezzanine – Interest</t>
  </si>
  <si>
    <t>Total Interest</t>
  </si>
  <si>
    <t>Senior Debt – Drawdown</t>
  </si>
  <si>
    <t>Mezzanine – Drawdown</t>
  </si>
  <si>
    <t>Total Drawdown</t>
  </si>
  <si>
    <t>Senior Debt – Repayment</t>
  </si>
  <si>
    <t>Mezzanine – Repayment</t>
  </si>
  <si>
    <t>Total Repayment</t>
  </si>
  <si>
    <t>Senior Debt – Outstanding</t>
  </si>
  <si>
    <t>Mezzanine – Outstanding</t>
  </si>
  <si>
    <t>Total Debt Outstanding</t>
  </si>
  <si>
    <t>Net Debt Change</t>
  </si>
  <si>
    <t>Cash Flow Statement</t>
  </si>
  <si>
    <t>CASH FLOW FROM OPERATIONS</t>
  </si>
  <si>
    <t>Add back: Depreciation &amp; Amortization</t>
  </si>
  <si>
    <t>Add back: Deferred Tax Movement</t>
  </si>
  <si>
    <t>Add back: Loss on Disposal</t>
  </si>
  <si>
    <t>Change in Receivables</t>
  </si>
  <si>
    <t>Change in Inventory</t>
  </si>
  <si>
    <t>Change in Other CA</t>
  </si>
  <si>
    <t>Change in Payables</t>
  </si>
  <si>
    <t>Change in Other CL</t>
  </si>
  <si>
    <t>Change in Rehab Fund</t>
  </si>
  <si>
    <t>CFO – Operating Cash Flow</t>
  </si>
  <si>
    <t>INVESTING CASH FLOW</t>
  </si>
  <si>
    <t>Fixed Asset CAPEX</t>
  </si>
  <si>
    <t>Salvage Value</t>
  </si>
  <si>
    <t>CFI – Investing Cash Flow</t>
  </si>
  <si>
    <t>FINANCING CASH FLOW</t>
  </si>
  <si>
    <t>Debt Drawdown</t>
  </si>
  <si>
    <t>Debt Repayment</t>
  </si>
  <si>
    <t>Interest Paid (memo – in CFO via NI)</t>
  </si>
  <si>
    <t>Equity Raised</t>
  </si>
  <si>
    <t>Available for Dividends</t>
  </si>
  <si>
    <t>Dividends Paid</t>
  </si>
  <si>
    <t>CFF – Financing Cash Flow</t>
  </si>
  <si>
    <t>Net Change in Cash</t>
  </si>
  <si>
    <t>Cash – Beginning</t>
  </si>
  <si>
    <t>Cash – End</t>
  </si>
  <si>
    <t>Cash Waterfall &amp; Covenants</t>
  </si>
  <si>
    <t>DSCR (for covenant test)</t>
  </si>
  <si>
    <t>Debt / EBITDA (covenant test)</t>
  </si>
  <si>
    <t>Covenant pass? (dividends ok)</t>
  </si>
  <si>
    <t>Free Cash Flow Analysis</t>
  </si>
  <si>
    <t>Tax on EBIT (gold formula notional)</t>
  </si>
  <si>
    <t>NOPAT</t>
  </si>
  <si>
    <t>Add back D&amp;A</t>
  </si>
  <si>
    <t>Change in NWC</t>
  </si>
  <si>
    <t>CAPEX (incl. exploration)</t>
  </si>
  <si>
    <t>FCFF – Free Cash Flow to Firm</t>
  </si>
  <si>
    <t>Cumulative FCFF</t>
  </si>
  <si>
    <t>FCFE Calculation</t>
  </si>
  <si>
    <t>FCFF</t>
  </si>
  <si>
    <t>Debt net change</t>
  </si>
  <si>
    <t>Interest (after tax)</t>
  </si>
  <si>
    <t>FCFE – Free Cash Flow to Equity</t>
  </si>
  <si>
    <t>Cumulative FCFE</t>
  </si>
  <si>
    <t>NPV @ WACC (ZAR)</t>
  </si>
  <si>
    <t>Equity NPV @ Ke (ZAR)</t>
  </si>
  <si>
    <t>Key Financial Ratios &amp; KPIs</t>
  </si>
  <si>
    <t>Debt / EBITDA</t>
  </si>
  <si>
    <t>DSCR</t>
  </si>
  <si>
    <t>Interest Coverage (EBIT/Interest)</t>
  </si>
  <si>
    <t>Current Ratio</t>
  </si>
  <si>
    <t>EBITDA Margin</t>
  </si>
  <si>
    <t>Net Income Margin</t>
  </si>
  <si>
    <t>ROIC</t>
  </si>
  <si>
    <t>ROE</t>
  </si>
  <si>
    <t>Effective Gold Mining Tax Rate</t>
  </si>
  <si>
    <t>Effective SA Royalty Rate</t>
  </si>
  <si>
    <t>All-in Sustaining Cost (ZAR/kg Au)</t>
  </si>
  <si>
    <t>AISC (USD/oz)</t>
  </si>
  <si>
    <t>LLCR (Loan Life Coverage)</t>
  </si>
  <si>
    <t>Net Debt / Equity</t>
  </si>
  <si>
    <t>Effective Total Tax Burden</t>
  </si>
  <si>
    <t>Gold Revenue per kg (ZAR)</t>
  </si>
  <si>
    <t>Cash Margin per kg (ZAR)</t>
  </si>
  <si>
    <t>Operating Leverage (OpCost/Rev)</t>
  </si>
  <si>
    <t>Effective Tax Rate (incl. all levies)</t>
  </si>
  <si>
    <t>By-product Metrics</t>
  </si>
  <si>
    <t>Net By-product Revenue (ZAR M)</t>
  </si>
  <si>
    <t>By-product as % of Gold Revenue</t>
  </si>
  <si>
    <t>By-product credit (USD/oz Au)</t>
  </si>
  <si>
    <t>AISC net of by-product credits (USD/oz)</t>
  </si>
  <si>
    <t>Impact on Project NPV and IRR</t>
  </si>
  <si>
    <t>One-way sensitivities: Discount Rate uses live NPV formula. Others require Excel Data Tables or manual re-run.</t>
  </si>
  <si>
    <t>NPV Sensitivity – Gold Price (USD/oz)</t>
  </si>
  <si>
    <t>Project NPV (ZAR M)</t>
  </si>
  <si>
    <t>Project IRR</t>
  </si>
  <si>
    <t>Equity IRR</t>
  </si>
  <si>
    <t>NPV Sensitivity – Ore Grade (g/t)</t>
  </si>
  <si>
    <t>NPV Sensitivity – USD/ZAR Exchange Rate</t>
  </si>
  <si>
    <t>NPV Sensitivity – Discount Rate (WACC)</t>
  </si>
  <si>
    <t>Discount Rate</t>
  </si>
  <si>
    <t>Project IRR (constant)</t>
  </si>
  <si>
    <t>NOTE: Sensitivity values must be computed via Excel Data Tables</t>
  </si>
  <si>
    <t>or by re-running the model. Gold price, grade, and FX</t>
  </si>
  <si>
    <t>rows above are placeholders for manual scenario entry.</t>
  </si>
  <si>
    <t>Discount rate NPV is computed using live FCFF values.</t>
  </si>
  <si>
    <t>Use Excel Data Tables (What-If) for gold price, grade, and FX sensitivities.</t>
  </si>
  <si>
    <t>Two-Way: Gold Price vs Ore Grade → NPV (ZAR M)</t>
  </si>
  <si>
    <t>Gold Price ↓ / Grade →</t>
  </si>
  <si>
    <t>NOTE: Populate via Excel Data Tables or VBA macro</t>
  </si>
  <si>
    <t>MODEL INTEGRITY CHECKS</t>
  </si>
  <si>
    <t>Automated verification of model consistency</t>
  </si>
  <si>
    <t>Check</t>
  </si>
  <si>
    <t>Result</t>
  </si>
  <si>
    <t>Description</t>
  </si>
  <si>
    <t>Balance Sheet Balance</t>
  </si>
  <si>
    <t>Assets = Liabilities + Equity for all periods</t>
  </si>
  <si>
    <t>Cash Flow Reconciliation</t>
  </si>
  <si>
    <t>Cash end = Cash begin + Net change</t>
  </si>
  <si>
    <t>Debt Fully Repaid</t>
  </si>
  <si>
    <t>All debt repaid by end of tenor</t>
  </si>
  <si>
    <t>Total Gold = Reserve</t>
  </si>
  <si>
    <t>Total gold recovered ≈ initial reserve estimate</t>
  </si>
  <si>
    <t>FCFF = CFO + CFI (pre-financing)</t>
  </si>
  <si>
    <t>FCFF reconciles to operating + investing flows</t>
  </si>
  <si>
    <t>No Negative Cash</t>
  </si>
  <si>
    <t>Cash balance never goes negative</t>
  </si>
  <si>
    <t>Dividend Covenant Check</t>
  </si>
  <si>
    <t>All dividend payments satisfy covenants</t>
  </si>
  <si>
    <t>Tax Rate ≤ 34%</t>
  </si>
  <si>
    <t>Gold mining tax rate capped at 34%</t>
  </si>
  <si>
    <t>Royalty Rate 0.5%-5%</t>
  </si>
  <si>
    <t>MPRRA royalty within statutory bounds</t>
  </si>
  <si>
    <t>OVERALL MODEL STATUS</t>
  </si>
  <si>
    <t>Financial Charts</t>
  </si>
  <si>
    <t>Year</t>
  </si>
  <si>
    <t>Revenue (ZAR M)</t>
  </si>
  <si>
    <t>EBITDA (ZAR M)</t>
  </si>
  <si>
    <t>Net Income (ZAR M)</t>
  </si>
  <si>
    <t>FCFF (ZAR M)</t>
  </si>
  <si>
    <t>FCFE (ZAR M)</t>
  </si>
  <si>
    <t>Total Debt (ZAR M)</t>
  </si>
  <si>
    <t>Cash Balance (ZAR M)</t>
  </si>
  <si>
    <t>Dividends (ZAR M)</t>
  </si>
  <si>
    <t>Gold Recovered (kg)</t>
  </si>
  <si>
    <t>By-product Revenue (ZAR M)</t>
  </si>
  <si>
    <t>Total Revenue incl. by-products (ZAR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</si>
</sst>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%"/>
    <numFmt numFmtId="165" formatCode="0.0000"/>
    <numFmt numFmtId="166" formatCode="0.000"/>
    <numFmt numFmtId="167" formatCode="0.00\x"/>
    <numFmt numFmtId="168" formatCode="0.0%;\(0.0%\);\-"/>
    <numFmt numFmtId="169" formatCode="0.0"/>
    <numFmt numFmtId="170" formatCode="#,##0;\(#,##0\);\-"/>
    <numFmt numFmtId="171" formatCode="#,##0.0"/>
    <numFmt numFmtId="172" formatCode="0.0\x;\(0.0&quot;x)&quot;;\–"/>
    <numFmt numFmtId="173" formatCode="0.0\x"/>
  </numFmts>
  <fonts count="35" x14ac:knownFonts="1">
    <font>
      <sz val="11"/>
      <color theme="1"/>
      <name val="Calibri"/>
      <family val="2"/>
      <charset val="1"/>
    </font>
    <font>
      <b/>
      <sz val="16"/>
      <color rgb="FF1F4E79"/>
      <name val="Arial"/>
      <charset val="1"/>
    </font>
    <font>
      <sz val="12"/>
      <color rgb="FF666666"/>
      <name val="Arial"/>
      <charset val="1"/>
    </font>
    <font>
      <i/>
      <sz val="10"/>
      <color rgb="FF999999"/>
      <name val="Arial"/>
      <charset val="1"/>
    </font>
    <font>
      <sz val="9"/>
      <color rgb="FF808080"/>
      <name val="Arial"/>
      <charset val="1"/>
    </font>
    <font>
      <b/>
      <sz val="11"/>
      <color rgb="FFFFFFFF"/>
      <name val="Arial"/>
      <charset val="1"/>
    </font>
    <font>
      <b/>
      <sz val="10"/>
      <color rgb="FF1F4E79"/>
      <name val="Arial"/>
      <charset val="1"/>
    </font>
    <font>
      <sz val="10"/>
      <name val="Arial"/>
      <charset val="1"/>
    </font>
    <font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0"/>
      <color rgb="FF008000"/>
      <name val="Arial"/>
      <charset val="1"/>
    </font>
    <font>
      <b/>
      <sz val="11"/>
      <color rgb="FF1F4E79"/>
      <name val="Arial"/>
      <charset val="1"/>
    </font>
    <font>
      <b/>
      <sz val="9"/>
      <name val="Arial"/>
      <charset val="1"/>
    </font>
    <font>
      <b/>
      <sz val="12"/>
      <color rgb="FF000000"/>
      <name val="Arial"/>
      <charset val="1"/>
    </font>
    <font>
      <b/>
      <sz val="14"/>
      <color rgb="FF000000"/>
      <name val="Arial"/>
      <charset val="1"/>
    </font>
    <font>
      <i/>
      <sz val="10"/>
      <color rgb="FF808080"/>
      <name val="Arial"/>
      <charset val="1"/>
    </font>
    <font>
      <sz val="10"/>
      <color rgb="FF0000FF"/>
      <name val="Arial"/>
      <charset val="1"/>
    </font>
    <font>
      <sz val="10"/>
      <color rgb="FF008000"/>
      <name val="Arial"/>
      <charset val="1"/>
    </font>
    <font>
      <b/>
      <sz val="14"/>
      <color rgb="FF4472C4"/>
      <name val="Arial"/>
      <charset val="1"/>
    </font>
    <font>
      <b/>
      <sz val="12"/>
      <name val="Arial"/>
      <charset val="1"/>
    </font>
    <font>
      <sz val="8"/>
      <color rgb="FF808080"/>
      <name val="Arial"/>
      <charset val="1"/>
    </font>
    <font>
      <b/>
      <sz val="10"/>
      <name val="Arial"/>
      <charset val="1"/>
    </font>
    <font>
      <b/>
      <sz val="16"/>
      <color rgb="FF002060"/>
      <name val="Arial"/>
      <charset val="1"/>
    </font>
    <font>
      <b/>
      <sz val="12"/>
      <color rgb="FF4472C4"/>
      <name val="Arial"/>
      <charset val="1"/>
    </font>
    <font>
      <b/>
      <sz val="14"/>
      <name val="Arial"/>
      <charset val="1"/>
    </font>
    <font>
      <b/>
      <sz val="12"/>
      <color rgb="FFC00000"/>
      <name val="Arial"/>
      <charset val="1"/>
    </font>
    <font>
      <b/>
      <u/>
      <sz val="10"/>
      <name val="Arial"/>
      <charset val="1"/>
    </font>
    <font>
      <b/>
      <sz val="11"/>
      <name val="Arial"/>
      <charset val="1"/>
    </font>
    <font>
      <i/>
      <sz val="9"/>
      <color rgb="FF666666"/>
      <name val="Arial"/>
      <charset val="1"/>
    </font>
    <font>
      <i/>
      <sz val="9"/>
      <name val="Arial"/>
      <charset val="1"/>
    </font>
    <font>
      <b/>
      <sz val="14"/>
      <color rgb="FF1F4E79"/>
      <name val="Arial"/>
      <charset val="1"/>
    </font>
    <font>
      <i/>
      <sz val="10"/>
      <color rgb="FF666666"/>
      <name val="Arial"/>
      <charset val="1"/>
    </font>
    <font>
      <b/>
      <sz val="12"/>
      <color rgb="FF1F4E79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F4E79"/>
        <bgColor rgb="FF333333"/>
      </patternFill>
    </fill>
    <fill>
      <patternFill patternType="solid">
        <fgColor rgb="FF4472C4"/>
        <bgColor rgb="FF666666"/>
      </patternFill>
    </fill>
    <fill>
      <patternFill patternType="solid">
        <fgColor rgb="FFF2F2F2"/>
        <bgColor rgb="FFE2EFDA"/>
      </patternFill>
    </fill>
    <fill>
      <patternFill patternType="solid">
        <fgColor rgb="FFD6E4F0"/>
        <bgColor rgb="FFDDEBF7"/>
      </patternFill>
    </fill>
    <fill>
      <patternFill patternType="solid">
        <fgColor rgb="FFFFF2CC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  <bgColor rgb="FFE2EFDA"/>
      </patternFill>
    </fill>
    <fill>
      <patternFill patternType="solid">
        <fgColor rgb="FFE2EFDA"/>
        <bgColor rgb="FFDDEBF7"/>
      </patternFill>
    </fill>
    <fill>
      <patternFill patternType="solid">
        <fgColor rgb="FFDDEBF7"/>
        <bgColor rgb="FFD6E4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6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10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5" borderId="0" xfId="0" applyFont="1" applyFill="1"/>
    <xf numFmtId="0" fontId="7" fillId="5" borderId="0" xfId="0" applyFont="1" applyFill="1"/>
    <xf numFmtId="0" fontId="0" fillId="5" borderId="0" xfId="0" applyFill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4" fillId="5" borderId="0" xfId="0" applyFont="1" applyFill="1"/>
    <xf numFmtId="0" fontId="8" fillId="5" borderId="0" xfId="0" applyFont="1" applyFill="1"/>
    <xf numFmtId="0" fontId="15" fillId="5" borderId="0" xfId="0" applyFont="1" applyFill="1"/>
    <xf numFmtId="0" fontId="16" fillId="0" borderId="0" xfId="0" applyFont="1"/>
    <xf numFmtId="0" fontId="17" fillId="0" borderId="0" xfId="0" applyFont="1"/>
    <xf numFmtId="0" fontId="18" fillId="6" borderId="0" xfId="0" applyFont="1" applyFill="1"/>
    <xf numFmtId="0" fontId="18" fillId="0" borderId="0" xfId="0" applyFont="1"/>
    <xf numFmtId="164" fontId="18" fillId="6" borderId="0" xfId="0" applyNumberFormat="1" applyFont="1" applyFill="1"/>
    <xf numFmtId="2" fontId="18" fillId="6" borderId="0" xfId="0" applyNumberFormat="1" applyFont="1" applyFill="1"/>
    <xf numFmtId="0" fontId="18" fillId="5" borderId="0" xfId="0" applyFont="1" applyFill="1"/>
    <xf numFmtId="3" fontId="18" fillId="6" borderId="0" xfId="0" applyNumberFormat="1" applyFont="1" applyFill="1"/>
    <xf numFmtId="165" fontId="10" fillId="0" borderId="0" xfId="0" applyNumberFormat="1" applyFont="1"/>
    <xf numFmtId="3" fontId="10" fillId="0" borderId="0" xfId="0" applyNumberFormat="1" applyFont="1"/>
    <xf numFmtId="164" fontId="11" fillId="5" borderId="0" xfId="0" applyNumberFormat="1" applyFont="1" applyFill="1"/>
    <xf numFmtId="3" fontId="11" fillId="5" borderId="0" xfId="0" applyNumberFormat="1" applyFont="1" applyFill="1"/>
    <xf numFmtId="3" fontId="19" fillId="0" borderId="0" xfId="0" applyNumberFormat="1" applyFont="1"/>
    <xf numFmtId="3" fontId="18" fillId="0" borderId="0" xfId="0" applyNumberFormat="1" applyFont="1"/>
    <xf numFmtId="3" fontId="11" fillId="0" borderId="0" xfId="0" applyNumberFormat="1" applyFont="1"/>
    <xf numFmtId="166" fontId="18" fillId="6" borderId="0" xfId="0" applyNumberFormat="1" applyFont="1" applyFill="1"/>
    <xf numFmtId="164" fontId="10" fillId="0" borderId="0" xfId="0" applyNumberFormat="1" applyFont="1"/>
    <xf numFmtId="164" fontId="19" fillId="0" borderId="0" xfId="0" applyNumberFormat="1" applyFont="1"/>
    <xf numFmtId="164" fontId="11" fillId="7" borderId="0" xfId="0" applyNumberFormat="1" applyFont="1" applyFill="1"/>
    <xf numFmtId="167" fontId="18" fillId="6" borderId="0" xfId="0" applyNumberFormat="1" applyFont="1" applyFill="1"/>
    <xf numFmtId="0" fontId="20" fillId="0" borderId="0" xfId="0" applyFont="1"/>
    <xf numFmtId="0" fontId="21" fillId="0" borderId="0" xfId="0" applyFont="1"/>
    <xf numFmtId="0" fontId="22" fillId="0" borderId="0" xfId="0" applyFont="1"/>
    <xf numFmtId="3" fontId="18" fillId="7" borderId="0" xfId="0" applyNumberFormat="1" applyFont="1" applyFill="1"/>
    <xf numFmtId="168" fontId="18" fillId="0" borderId="0" xfId="0" applyNumberFormat="1" applyFont="1"/>
    <xf numFmtId="166" fontId="18" fillId="7" borderId="0" xfId="0" applyNumberFormat="1" applyFont="1" applyFill="1"/>
    <xf numFmtId="165" fontId="18" fillId="7" borderId="0" xfId="0" applyNumberFormat="1" applyFont="1" applyFill="1"/>
    <xf numFmtId="0" fontId="23" fillId="0" borderId="0" xfId="0" applyFont="1"/>
    <xf numFmtId="0" fontId="18" fillId="7" borderId="0" xfId="0" applyFont="1" applyFill="1"/>
    <xf numFmtId="0" fontId="24" fillId="0" borderId="0" xfId="0" applyFont="1"/>
    <xf numFmtId="0" fontId="10" fillId="5" borderId="0" xfId="0" applyFont="1" applyFill="1"/>
    <xf numFmtId="164" fontId="11" fillId="0" borderId="0" xfId="0" applyNumberFormat="1" applyFont="1"/>
    <xf numFmtId="2" fontId="10" fillId="0" borderId="0" xfId="0" applyNumberFormat="1" applyFont="1"/>
    <xf numFmtId="169" fontId="10" fillId="0" borderId="0" xfId="0" applyNumberFormat="1" applyFont="1"/>
    <xf numFmtId="1" fontId="10" fillId="0" borderId="0" xfId="0" applyNumberFormat="1" applyFont="1"/>
    <xf numFmtId="170" fontId="10" fillId="0" borderId="0" xfId="0" applyNumberFormat="1" applyFont="1"/>
    <xf numFmtId="2" fontId="19" fillId="0" borderId="0" xfId="0" applyNumberFormat="1" applyFont="1"/>
    <xf numFmtId="170" fontId="11" fillId="0" borderId="0" xfId="0" applyNumberFormat="1" applyFont="1"/>
    <xf numFmtId="3" fontId="10" fillId="5" borderId="0" xfId="0" applyNumberFormat="1" applyFont="1" applyFill="1"/>
    <xf numFmtId="0" fontId="25" fillId="0" borderId="0" xfId="0" applyFont="1"/>
    <xf numFmtId="0" fontId="23" fillId="8" borderId="0" xfId="0" applyFont="1" applyFill="1"/>
    <xf numFmtId="3" fontId="19" fillId="8" borderId="0" xfId="0" applyNumberFormat="1" applyFont="1" applyFill="1"/>
    <xf numFmtId="0" fontId="4" fillId="8" borderId="0" xfId="0" applyFont="1" applyFill="1"/>
    <xf numFmtId="0" fontId="0" fillId="8" borderId="0" xfId="0" applyFill="1"/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3" fontId="23" fillId="0" borderId="0" xfId="0" applyNumberFormat="1" applyFont="1"/>
    <xf numFmtId="171" fontId="10" fillId="0" borderId="0" xfId="0" applyNumberFormat="1" applyFont="1"/>
    <xf numFmtId="4" fontId="10" fillId="0" borderId="0" xfId="0" applyNumberFormat="1" applyFont="1"/>
    <xf numFmtId="166" fontId="10" fillId="0" borderId="0" xfId="0" applyNumberFormat="1" applyFont="1"/>
    <xf numFmtId="4" fontId="19" fillId="0" borderId="0" xfId="0" applyNumberFormat="1" applyFont="1"/>
    <xf numFmtId="170" fontId="19" fillId="0" borderId="0" xfId="0" applyNumberFormat="1" applyFont="1"/>
    <xf numFmtId="0" fontId="26" fillId="0" borderId="0" xfId="0" applyFont="1"/>
    <xf numFmtId="0" fontId="9" fillId="3" borderId="0" xfId="0" applyFont="1" applyFill="1" applyAlignment="1">
      <alignment horizontal="center"/>
    </xf>
    <xf numFmtId="0" fontId="21" fillId="9" borderId="0" xfId="0" applyFont="1" applyFill="1"/>
    <xf numFmtId="0" fontId="0" fillId="9" borderId="0" xfId="0" applyFill="1"/>
    <xf numFmtId="166" fontId="19" fillId="0" borderId="0" xfId="0" applyNumberFormat="1" applyFont="1"/>
    <xf numFmtId="168" fontId="19" fillId="0" borderId="0" xfId="0" applyNumberFormat="1" applyFont="1"/>
    <xf numFmtId="171" fontId="19" fillId="0" borderId="0" xfId="0" applyNumberFormat="1" applyFont="1"/>
    <xf numFmtId="170" fontId="23" fillId="0" borderId="0" xfId="0" applyNumberFormat="1" applyFont="1"/>
    <xf numFmtId="3" fontId="7" fillId="0" borderId="0" xfId="0" applyNumberFormat="1" applyFont="1"/>
    <xf numFmtId="170" fontId="7" fillId="8" borderId="0" xfId="0" applyNumberFormat="1" applyFont="1" applyFill="1"/>
    <xf numFmtId="170" fontId="23" fillId="8" borderId="0" xfId="0" applyNumberFormat="1" applyFont="1" applyFill="1"/>
    <xf numFmtId="0" fontId="21" fillId="10" borderId="0" xfId="0" applyFont="1" applyFill="1"/>
    <xf numFmtId="0" fontId="0" fillId="10" borderId="0" xfId="0" applyFill="1"/>
    <xf numFmtId="165" fontId="19" fillId="0" borderId="0" xfId="0" applyNumberFormat="1" applyFont="1"/>
    <xf numFmtId="0" fontId="15" fillId="8" borderId="0" xfId="0" applyFont="1" applyFill="1"/>
    <xf numFmtId="168" fontId="7" fillId="0" borderId="0" xfId="0" applyNumberFormat="1" applyFont="1"/>
    <xf numFmtId="0" fontId="27" fillId="0" borderId="0" xfId="0" applyFont="1"/>
    <xf numFmtId="0" fontId="11" fillId="8" borderId="0" xfId="0" applyFont="1" applyFill="1"/>
    <xf numFmtId="170" fontId="10" fillId="8" borderId="0" xfId="0" applyNumberFormat="1" applyFont="1" applyFill="1"/>
    <xf numFmtId="0" fontId="28" fillId="5" borderId="0" xfId="0" applyFont="1" applyFill="1"/>
    <xf numFmtId="170" fontId="10" fillId="5" borderId="0" xfId="0" applyNumberFormat="1" applyFont="1" applyFill="1"/>
    <xf numFmtId="170" fontId="11" fillId="8" borderId="0" xfId="0" applyNumberFormat="1" applyFont="1" applyFill="1"/>
    <xf numFmtId="170" fontId="18" fillId="0" borderId="0" xfId="0" applyNumberFormat="1" applyFont="1"/>
    <xf numFmtId="0" fontId="11" fillId="5" borderId="0" xfId="0" applyFont="1" applyFill="1" applyAlignment="1">
      <alignment horizontal="center"/>
    </xf>
    <xf numFmtId="0" fontId="4" fillId="5" borderId="0" xfId="0" applyFont="1" applyFill="1"/>
    <xf numFmtId="2" fontId="0" fillId="0" borderId="0" xfId="0" applyNumberFormat="1"/>
    <xf numFmtId="10" fontId="0" fillId="5" borderId="0" xfId="0" applyNumberFormat="1" applyFill="1"/>
    <xf numFmtId="0" fontId="15" fillId="0" borderId="0" xfId="0" applyFont="1"/>
    <xf numFmtId="0" fontId="10" fillId="8" borderId="0" xfId="0" applyFont="1" applyFill="1"/>
    <xf numFmtId="0" fontId="29" fillId="5" borderId="0" xfId="0" applyFont="1" applyFill="1"/>
    <xf numFmtId="170" fontId="0" fillId="0" borderId="0" xfId="0" applyNumberFormat="1"/>
    <xf numFmtId="0" fontId="23" fillId="5" borderId="0" xfId="0" applyFont="1" applyFill="1"/>
    <xf numFmtId="0" fontId="30" fillId="0" borderId="0" xfId="0" applyFont="1"/>
    <xf numFmtId="167" fontId="19" fillId="0" borderId="0" xfId="0" applyNumberFormat="1" applyFont="1"/>
    <xf numFmtId="167" fontId="10" fillId="0" borderId="0" xfId="0" applyNumberFormat="1" applyFont="1"/>
    <xf numFmtId="164" fontId="4" fillId="5" borderId="0" xfId="0" applyNumberFormat="1" applyFont="1" applyFill="1"/>
    <xf numFmtId="164" fontId="4" fillId="0" borderId="0" xfId="0" applyNumberFormat="1" applyFont="1"/>
    <xf numFmtId="3" fontId="4" fillId="0" borderId="0" xfId="0" applyNumberFormat="1" applyFont="1"/>
    <xf numFmtId="172" fontId="10" fillId="0" borderId="0" xfId="0" applyNumberFormat="1" applyFont="1"/>
    <xf numFmtId="172" fontId="19" fillId="0" borderId="0" xfId="0" applyNumberFormat="1" applyFont="1"/>
    <xf numFmtId="173" fontId="0" fillId="0" borderId="0" xfId="0" applyNumberFormat="1"/>
    <xf numFmtId="3" fontId="18" fillId="0" borderId="0" xfId="0" applyNumberFormat="1" applyFont="1" applyAlignment="1">
      <alignment horizontal="center"/>
    </xf>
    <xf numFmtId="3" fontId="18" fillId="7" borderId="0" xfId="0" applyNumberFormat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7" borderId="0" xfId="0" applyNumberFormat="1" applyFont="1" applyFill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7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7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29" fillId="0" borderId="0" xfId="0" applyFont="1"/>
    <xf numFmtId="10" fontId="29" fillId="0" borderId="0" xfId="0" applyNumberFormat="1" applyFont="1"/>
    <xf numFmtId="0" fontId="34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7">
    <dxf>
      <font>
        <sz val="10"/>
        <color rgb="FFFF0000"/>
        <name val="Arial"/>
        <charset val="1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ont>
        <sz val="10"/>
        <color rgb="FFFF0000"/>
        <name val="Arial"/>
        <charset val="1"/>
      </font>
      <fill>
        <patternFill>
          <bgColor rgb="FFFFC7CE"/>
        </patternFill>
      </fill>
    </dxf>
    <dxf>
      <font>
        <sz val="10"/>
        <color rgb="FFFF0000"/>
        <name val="Arial"/>
        <charset val="1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ont>
        <sz val="10"/>
        <color rgb="FFFF0000"/>
        <name val="Arial"/>
        <charset val="1"/>
      </font>
      <fill>
        <patternFill>
          <bgColor rgb="FFFFC7CE"/>
        </patternFill>
      </fill>
    </dxf>
    <dxf>
      <font>
        <sz val="10"/>
        <color rgb="FFFF0000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7030A0"/>
      <rgbColor rgb="FFFFF2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2EFDA"/>
      <rgbColor rgb="FFC6EFCE"/>
      <rgbColor rgb="FFF2F2F2"/>
      <rgbColor rgb="FFD6E4F0"/>
      <rgbColor rgb="FFFF99CC"/>
      <rgbColor rgb="FFCC99FF"/>
      <rgbColor rgb="FFFFC7CE"/>
      <rgbColor rgb="FF4472C4"/>
      <rgbColor rgb="FF33CCCC"/>
      <rgbColor rgb="FF92D050"/>
      <rgbColor rgb="FFFFC000"/>
      <rgbColor rgb="FFBF8F00"/>
      <rgbColor rgb="FFED7D31"/>
      <rgbColor rgb="FF666666"/>
      <rgbColor rgb="FF999999"/>
      <rgbColor rgb="FF002060"/>
      <rgbColor rgb="FF00B050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ZA" sz="1800" b="1" strike="noStrike" spc="-1">
                <a:solidFill>
                  <a:srgbClr val="000000"/>
                </a:solidFill>
                <a:latin typeface="Calibri"/>
              </a:rPr>
              <a:t>Revenue &amp; EBITDA (ZAR 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Revenue</c:v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Charts!$B$3:$V$3</c:f>
              <c:numCache>
                <c:formatCode>General</c:formatCode>
                <c:ptCount val="2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</c:numCache>
            </c:numRef>
          </c:cat>
          <c:val>
            <c:numRef>
              <c:f>Charts!$B$4:$V$4</c:f>
              <c:numCache>
                <c:formatCode>#\ ##0.0</c:formatCode>
                <c:ptCount val="21"/>
                <c:pt idx="0">
                  <c:v>0</c:v>
                </c:pt>
                <c:pt idx="1">
                  <c:v>3836.4012550838329</c:v>
                </c:pt>
                <c:pt idx="2">
                  <c:v>7973.1076300856184</c:v>
                </c:pt>
                <c:pt idx="3">
                  <c:v>10470.683595209935</c:v>
                </c:pt>
                <c:pt idx="4">
                  <c:v>11000.500185127559</c:v>
                </c:pt>
                <c:pt idx="5">
                  <c:v>8157.9709372906</c:v>
                </c:pt>
                <c:pt idx="6">
                  <c:v>12141.916044516463</c:v>
                </c:pt>
                <c:pt idx="7">
                  <c:v>12756.296996368997</c:v>
                </c:pt>
                <c:pt idx="8">
                  <c:v>13401.765624385267</c:v>
                </c:pt>
                <c:pt idx="9">
                  <c:v>14079.894964979163</c:v>
                </c:pt>
                <c:pt idx="10">
                  <c:v>3045.481280924992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2-014F-A226-0BA5A72A193E}"/>
            </c:ext>
          </c:extLst>
        </c:ser>
        <c:ser>
          <c:idx val="1"/>
          <c:order val="1"/>
          <c:tx>
            <c:v>EBITDA</c:v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Charts!$B$3:$V$3</c:f>
              <c:numCache>
                <c:formatCode>General</c:formatCode>
                <c:ptCount val="2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</c:numCache>
            </c:numRef>
          </c:cat>
          <c:val>
            <c:numRef>
              <c:f>Charts!$B$5:$V$5</c:f>
              <c:numCache>
                <c:formatCode>#\ ##0.0</c:formatCode>
                <c:ptCount val="21"/>
                <c:pt idx="0">
                  <c:v>0</c:v>
                </c:pt>
                <c:pt idx="1">
                  <c:v>1858.4153998995605</c:v>
                </c:pt>
                <c:pt idx="2">
                  <c:v>3936.8101685158022</c:v>
                </c:pt>
                <c:pt idx="3">
                  <c:v>5228.5999050805876</c:v>
                </c:pt>
                <c:pt idx="4">
                  <c:v>5546.8745856128608</c:v>
                </c:pt>
                <c:pt idx="5">
                  <c:v>4141.3986159303786</c:v>
                </c:pt>
                <c:pt idx="6">
                  <c:v>6241.9496564391238</c:v>
                </c:pt>
                <c:pt idx="7">
                  <c:v>6619.4316761923865</c:v>
                </c:pt>
                <c:pt idx="8">
                  <c:v>7018.3440718171978</c:v>
                </c:pt>
                <c:pt idx="9">
                  <c:v>7439.8613280006148</c:v>
                </c:pt>
                <c:pt idx="10">
                  <c:v>1583.3958555304273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2-014F-A226-0BA5A72A1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90601"/>
        <c:axId val="75676023"/>
      </c:barChart>
      <c:catAx>
        <c:axId val="870906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ZA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5676023"/>
        <c:crosses val="autoZero"/>
        <c:auto val="1"/>
        <c:lblAlgn val="ctr"/>
        <c:lblOffset val="100"/>
        <c:noMultiLvlLbl val="0"/>
      </c:catAx>
      <c:valAx>
        <c:axId val="7567602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ZA" sz="1000" b="1" strike="noStrike" spc="-1">
                    <a:solidFill>
                      <a:srgbClr val="000000"/>
                    </a:solidFill>
                    <a:latin typeface="Calibri"/>
                  </a:rPr>
                  <a:t>ZAR Millions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709060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ZA" sz="1800" b="1" strike="noStrike" spc="-1">
                <a:solidFill>
                  <a:srgbClr val="000000"/>
                </a:solidFill>
                <a:latin typeface="Calibri"/>
              </a:rPr>
              <a:t>Free Cash Flow to Firm (ZAR 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FCFF</c:v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Charts!$B$3:$V$3</c:f>
              <c:numCache>
                <c:formatCode>General</c:formatCode>
                <c:ptCount val="2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</c:numCache>
            </c:numRef>
          </c:cat>
          <c:val>
            <c:numRef>
              <c:f>Charts!$B$7:$V$7</c:f>
              <c:numCache>
                <c:formatCode>#\ ##0.0</c:formatCode>
                <c:ptCount val="21"/>
                <c:pt idx="0">
                  <c:v>-920</c:v>
                </c:pt>
                <c:pt idx="1">
                  <c:v>743.75026310255726</c:v>
                </c:pt>
                <c:pt idx="2">
                  <c:v>2083.1589122233845</c:v>
                </c:pt>
                <c:pt idx="3">
                  <c:v>3242.529606325943</c:v>
                </c:pt>
                <c:pt idx="4">
                  <c:v>3786.8169061375361</c:v>
                </c:pt>
                <c:pt idx="5">
                  <c:v>3276.8966695383606</c:v>
                </c:pt>
                <c:pt idx="6">
                  <c:v>3702.0185747788873</c:v>
                </c:pt>
                <c:pt idx="7">
                  <c:v>4514.1407669255677</c:v>
                </c:pt>
                <c:pt idx="8">
                  <c:v>4783.9132085823203</c:v>
                </c:pt>
                <c:pt idx="9">
                  <c:v>5068.9354309283062</c:v>
                </c:pt>
                <c:pt idx="10">
                  <c:v>2912.8133655902252</c:v>
                </c:pt>
                <c:pt idx="11">
                  <c:v>493.01407677612366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0-474B-AB57-1210EEABB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62510"/>
        <c:axId val="40224765"/>
      </c:barChart>
      <c:lineChart>
        <c:grouping val="standard"/>
        <c:varyColors val="0"/>
        <c:ser>
          <c:idx val="1"/>
          <c:order val="1"/>
          <c:tx>
            <c:v>Cumulative FCFF</c:v>
          </c:tx>
          <c:spPr>
            <a:ln w="2844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Charts!$B$3:$V$3</c:f>
              <c:numCache>
                <c:formatCode>General</c:formatCode>
                <c:ptCount val="2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</c:numCache>
            </c:numRef>
          </c:cat>
          <c:val>
            <c:numRef>
              <c:f>Charts!$B$8:$V$8</c:f>
              <c:numCache>
                <c:formatCode>#\ ##0.0</c:formatCode>
                <c:ptCount val="21"/>
                <c:pt idx="0">
                  <c:v>-378</c:v>
                </c:pt>
                <c:pt idx="1">
                  <c:v>699.59177122397898</c:v>
                </c:pt>
                <c:pt idx="2">
                  <c:v>1992.62295487919</c:v>
                </c:pt>
                <c:pt idx="3">
                  <c:v>3155.2173080223101</c:v>
                </c:pt>
                <c:pt idx="4">
                  <c:v>3702.7175134437143</c:v>
                </c:pt>
                <c:pt idx="5">
                  <c:v>2992.7085121730197</c:v>
                </c:pt>
                <c:pt idx="6">
                  <c:v>3644.0648875156476</c:v>
                </c:pt>
                <c:pt idx="7">
                  <c:v>4459.3771555691601</c:v>
                </c:pt>
                <c:pt idx="8">
                  <c:v>4732.3364804543717</c:v>
                </c:pt>
                <c:pt idx="9">
                  <c:v>5068.9354309283062</c:v>
                </c:pt>
                <c:pt idx="10">
                  <c:v>2912.8133655902252</c:v>
                </c:pt>
                <c:pt idx="11">
                  <c:v>493.01407677612366</c:v>
                </c:pt>
                <c:pt idx="12">
                  <c:v>-4.2468309402465824E-15</c:v>
                </c:pt>
                <c:pt idx="13">
                  <c:v>-4.2468309402465824E-15</c:v>
                </c:pt>
                <c:pt idx="14">
                  <c:v>-4.2468309402465824E-15</c:v>
                </c:pt>
                <c:pt idx="15">
                  <c:v>-4.2468309402465824E-15</c:v>
                </c:pt>
                <c:pt idx="16">
                  <c:v>-4.2468309402465824E-15</c:v>
                </c:pt>
                <c:pt idx="17">
                  <c:v>-4.2468309402465824E-15</c:v>
                </c:pt>
                <c:pt idx="18">
                  <c:v>-4.2468309402465824E-15</c:v>
                </c:pt>
                <c:pt idx="19">
                  <c:v>-4.2468309402465824E-15</c:v>
                </c:pt>
                <c:pt idx="20">
                  <c:v>-4.2468309402465824E-15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F0-474B-AB57-1210EEABB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5481166"/>
        <c:axId val="56508965"/>
      </c:lineChart>
      <c:catAx>
        <c:axId val="8486251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0224765"/>
        <c:crosses val="autoZero"/>
        <c:auto val="1"/>
        <c:lblAlgn val="ctr"/>
        <c:lblOffset val="100"/>
        <c:noMultiLvlLbl val="0"/>
      </c:catAx>
      <c:valAx>
        <c:axId val="4022476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4862510"/>
        <c:crosses val="autoZero"/>
        <c:crossBetween val="between"/>
      </c:valAx>
      <c:catAx>
        <c:axId val="3548116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6508965"/>
        <c:crosses val="autoZero"/>
        <c:auto val="1"/>
        <c:lblAlgn val="ctr"/>
        <c:lblOffset val="100"/>
        <c:noMultiLvlLbl val="0"/>
      </c:catAx>
      <c:valAx>
        <c:axId val="5650896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548116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ZA" sz="1800" b="1" strike="noStrike" spc="-1">
                <a:solidFill>
                  <a:srgbClr val="000000"/>
                </a:solidFill>
                <a:latin typeface="Calibri"/>
              </a:rPr>
              <a:t>Debt Outstanding &amp; Cash (ZAR 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Debt</c:v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Charts!$B$3:$V$3</c:f>
              <c:numCache>
                <c:formatCode>General</c:formatCode>
                <c:ptCount val="2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</c:numCache>
            </c:numRef>
          </c:cat>
          <c:val>
            <c:numRef>
              <c:f>Charts!$B$9:$V$9</c:f>
              <c:numCache>
                <c:formatCode>#\ ##0.0</c:formatCode>
                <c:ptCount val="21"/>
                <c:pt idx="0">
                  <c:v>542</c:v>
                </c:pt>
                <c:pt idx="1">
                  <c:v>542</c:v>
                </c:pt>
                <c:pt idx="2">
                  <c:v>493.60714285714289</c:v>
                </c:pt>
                <c:pt idx="3">
                  <c:v>445.21428571428572</c:v>
                </c:pt>
                <c:pt idx="4">
                  <c:v>396.82142857142861</c:v>
                </c:pt>
                <c:pt idx="5">
                  <c:v>145.17857142857147</c:v>
                </c:pt>
                <c:pt idx="6">
                  <c:v>96.785714285714334</c:v>
                </c:pt>
                <c:pt idx="7">
                  <c:v>48.392857142857189</c:v>
                </c:pt>
                <c:pt idx="8">
                  <c:v>4.470348358154297E-14</c:v>
                </c:pt>
                <c:pt idx="9">
                  <c:v>4.470348358154297E-14</c:v>
                </c:pt>
                <c:pt idx="10">
                  <c:v>4.470348358154297E-14</c:v>
                </c:pt>
                <c:pt idx="11">
                  <c:v>4.470348358154297E-14</c:v>
                </c:pt>
                <c:pt idx="12">
                  <c:v>4.470348358154297E-14</c:v>
                </c:pt>
                <c:pt idx="13">
                  <c:v>4.470348358154297E-14</c:v>
                </c:pt>
                <c:pt idx="14">
                  <c:v>4.470348358154297E-14</c:v>
                </c:pt>
                <c:pt idx="15">
                  <c:v>4.470348358154297E-14</c:v>
                </c:pt>
                <c:pt idx="16">
                  <c:v>4.470348358154297E-14</c:v>
                </c:pt>
                <c:pt idx="17">
                  <c:v>4.470348358154297E-14</c:v>
                </c:pt>
                <c:pt idx="18">
                  <c:v>4.470348358154297E-14</c:v>
                </c:pt>
                <c:pt idx="19">
                  <c:v>4.470348358154297E-14</c:v>
                </c:pt>
                <c:pt idx="20">
                  <c:v>4.470348358154297E-14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C-9A4F-9826-349A491DF733}"/>
            </c:ext>
          </c:extLst>
        </c:ser>
        <c:ser>
          <c:idx val="1"/>
          <c:order val="1"/>
          <c:tx>
            <c:v>Cash</c:v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Charts!$B$3:$V$3</c:f>
              <c:numCache>
                <c:formatCode>General</c:formatCode>
                <c:ptCount val="2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</c:numCache>
            </c:numRef>
          </c:cat>
          <c:val>
            <c:numRef>
              <c:f>Charts!$B$10:$V$10</c:f>
              <c:numCache>
                <c:formatCode>#\ ##0.0</c:formatCode>
                <c:ptCount val="21"/>
                <c:pt idx="0">
                  <c:v>435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664.13645231147768</c:v>
                </c:pt>
                <c:pt idx="12">
                  <c:v>707.30532171172365</c:v>
                </c:pt>
                <c:pt idx="13">
                  <c:v>753.28016762298569</c:v>
                </c:pt>
                <c:pt idx="14">
                  <c:v>802.24337851847986</c:v>
                </c:pt>
                <c:pt idx="15">
                  <c:v>854.38919812218103</c:v>
                </c:pt>
                <c:pt idx="16">
                  <c:v>909.92449600012276</c:v>
                </c:pt>
                <c:pt idx="17">
                  <c:v>969.06958824013077</c:v>
                </c:pt>
                <c:pt idx="18">
                  <c:v>1032.0591114757392</c:v>
                </c:pt>
                <c:pt idx="19">
                  <c:v>1099.1429537216623</c:v>
                </c:pt>
                <c:pt idx="20">
                  <c:v>1170.5872457135704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FC-9A4F-9826-349A491DF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976"/>
        <c:axId val="43711470"/>
      </c:barChart>
      <c:catAx>
        <c:axId val="35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711470"/>
        <c:crosses val="autoZero"/>
        <c:auto val="1"/>
        <c:lblAlgn val="ctr"/>
        <c:lblOffset val="100"/>
        <c:noMultiLvlLbl val="0"/>
      </c:catAx>
      <c:valAx>
        <c:axId val="4371147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5897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ZA" sz="1800" b="1" strike="noStrike" spc="-1">
                <a:solidFill>
                  <a:srgbClr val="000000"/>
                </a:solidFill>
                <a:latin typeface="Calibri"/>
              </a:rPr>
              <a:t>Gold Recovered (kg)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Gold (kg)</c:v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Charts!$B$3:$V$3</c:f>
              <c:numCache>
                <c:formatCode>General</c:formatCode>
                <c:ptCount val="2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</c:numCache>
            </c:numRef>
          </c:cat>
          <c:val>
            <c:numRef>
              <c:f>Charts!$B$11:$V$11</c:f>
              <c:numCache>
                <c:formatCode>#\ ##0.0</c:formatCode>
                <c:ptCount val="21"/>
                <c:pt idx="0">
                  <c:v>0</c:v>
                </c:pt>
                <c:pt idx="1">
                  <c:v>-1117.3647596999124</c:v>
                </c:pt>
                <c:pt idx="2">
                  <c:v>-1612.8869077201418</c:v>
                </c:pt>
                <c:pt idx="3">
                  <c:v>-2578.6992972954736</c:v>
                </c:pt>
                <c:pt idx="4">
                  <c:v>-3033.1000888635476</c:v>
                </c:pt>
                <c:pt idx="5">
                  <c:v>-2468.6635848576207</c:v>
                </c:pt>
                <c:pt idx="6">
                  <c:v>-2977.9539241496382</c:v>
                </c:pt>
                <c:pt idx="7">
                  <c:v>-3655.2548975673635</c:v>
                </c:pt>
                <c:pt idx="8">
                  <c:v>-3880.4906297056668</c:v>
                </c:pt>
                <c:pt idx="9">
                  <c:v>-4158.6485909956191</c:v>
                </c:pt>
                <c:pt idx="10">
                  <c:v>-2452.0061971104942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A-E84B-9238-8691EFC39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8896"/>
        <c:axId val="43678942"/>
      </c:barChart>
      <c:catAx>
        <c:axId val="21598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78942"/>
        <c:crosses val="autoZero"/>
        <c:auto val="1"/>
        <c:lblAlgn val="ctr"/>
        <c:lblOffset val="100"/>
        <c:noMultiLvlLbl val="0"/>
      </c:catAx>
      <c:valAx>
        <c:axId val="4367894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59889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160560</xdr:rowOff>
    </xdr:from>
    <xdr:to>
      <xdr:col>16</xdr:col>
      <xdr:colOff>290160</xdr:colOff>
      <xdr:row>40</xdr:row>
      <xdr:rowOff>51120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29</xdr:row>
      <xdr:rowOff>160560</xdr:rowOff>
    </xdr:from>
    <xdr:to>
      <xdr:col>16</xdr:col>
      <xdr:colOff>290160</xdr:colOff>
      <xdr:row>56</xdr:row>
      <xdr:rowOff>51480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45</xdr:row>
      <xdr:rowOff>160920</xdr:rowOff>
    </xdr:from>
    <xdr:to>
      <xdr:col>16</xdr:col>
      <xdr:colOff>290160</xdr:colOff>
      <xdr:row>72</xdr:row>
      <xdr:rowOff>51480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61</xdr:row>
      <xdr:rowOff>160560</xdr:rowOff>
    </xdr:from>
    <xdr:to>
      <xdr:col>16</xdr:col>
      <xdr:colOff>290160</xdr:colOff>
      <xdr:row>88</xdr:row>
      <xdr:rowOff>51120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08080"/>
    <pageSetUpPr fitToPage="1"/>
  </sheetPr>
  <dimension ref="A1:D49"/>
  <sheetViews>
    <sheetView zoomScaleNormal="100" workbookViewId="0"/>
  </sheetViews>
  <sheetFormatPr baseColWidth="10" defaultColWidth="8.6640625" defaultRowHeight="15" x14ac:dyDescent="0.2"/>
  <cols>
    <col min="1" max="1" width="30" customWidth="1"/>
    <col min="2" max="2" width="50" customWidth="1"/>
    <col min="3" max="24" width="45" customWidth="1"/>
  </cols>
  <sheetData>
    <row r="1" spans="1:4" ht="17.25" customHeight="1" x14ac:dyDescent="0.2">
      <c r="A1" s="1" t="s">
        <v>0</v>
      </c>
    </row>
    <row r="2" spans="1:4" ht="15" customHeight="1" x14ac:dyDescent="0.2">
      <c r="A2" s="2" t="s">
        <v>1</v>
      </c>
    </row>
    <row r="3" spans="1:4" ht="15" customHeight="1" x14ac:dyDescent="0.2">
      <c r="A3" s="3" t="s">
        <v>2</v>
      </c>
    </row>
    <row r="4" spans="1:4" ht="15" customHeight="1" x14ac:dyDescent="0.2">
      <c r="A4" s="4"/>
    </row>
    <row r="5" spans="1:4" ht="15" customHeight="1" x14ac:dyDescent="0.2">
      <c r="A5" s="5" t="s">
        <v>3</v>
      </c>
      <c r="B5" s="5" t="s">
        <v>4</v>
      </c>
      <c r="C5" s="5" t="s">
        <v>5</v>
      </c>
    </row>
    <row r="6" spans="1:4" ht="15" customHeight="1" x14ac:dyDescent="0.2">
      <c r="A6" s="6" t="s">
        <v>6</v>
      </c>
      <c r="B6" s="7" t="s">
        <v>7</v>
      </c>
      <c r="C6" s="8" t="s">
        <v>8</v>
      </c>
      <c r="D6" s="9"/>
    </row>
    <row r="7" spans="1:4" ht="15" customHeight="1" x14ac:dyDescent="0.2">
      <c r="A7" s="10" t="s">
        <v>9</v>
      </c>
      <c r="B7" s="11" t="s">
        <v>10</v>
      </c>
      <c r="C7" s="12" t="s">
        <v>11</v>
      </c>
      <c r="D7" s="13"/>
    </row>
    <row r="8" spans="1:4" ht="15" customHeight="1" x14ac:dyDescent="0.2">
      <c r="A8" s="14" t="s">
        <v>12</v>
      </c>
      <c r="B8" s="15" t="s">
        <v>13</v>
      </c>
      <c r="C8" s="16" t="s">
        <v>14</v>
      </c>
      <c r="D8" s="17"/>
    </row>
    <row r="9" spans="1:4" ht="15" customHeight="1" x14ac:dyDescent="0.2">
      <c r="A9" s="10" t="s">
        <v>15</v>
      </c>
      <c r="B9" s="11" t="s">
        <v>16</v>
      </c>
      <c r="C9" s="12" t="s">
        <v>17</v>
      </c>
      <c r="D9" s="13"/>
    </row>
    <row r="10" spans="1:4" ht="15" customHeight="1" x14ac:dyDescent="0.2">
      <c r="A10" s="14" t="s">
        <v>18</v>
      </c>
      <c r="B10" s="15" t="s">
        <v>19</v>
      </c>
      <c r="C10" s="16" t="s">
        <v>20</v>
      </c>
      <c r="D10" s="17"/>
    </row>
    <row r="11" spans="1:4" ht="15" customHeight="1" x14ac:dyDescent="0.2">
      <c r="A11" s="10" t="s">
        <v>21</v>
      </c>
      <c r="B11" s="11" t="s">
        <v>22</v>
      </c>
      <c r="C11" s="12" t="s">
        <v>23</v>
      </c>
      <c r="D11" s="13"/>
    </row>
    <row r="12" spans="1:4" ht="15" customHeight="1" x14ac:dyDescent="0.2">
      <c r="A12" s="14" t="s">
        <v>24</v>
      </c>
      <c r="B12" s="15" t="s">
        <v>25</v>
      </c>
      <c r="C12" s="16" t="s">
        <v>26</v>
      </c>
      <c r="D12" s="17"/>
    </row>
    <row r="13" spans="1:4" ht="15" customHeight="1" x14ac:dyDescent="0.2">
      <c r="A13" s="10" t="s">
        <v>27</v>
      </c>
      <c r="B13" s="11" t="s">
        <v>28</v>
      </c>
      <c r="C13" s="12" t="s">
        <v>29</v>
      </c>
      <c r="D13" s="13"/>
    </row>
    <row r="14" spans="1:4" ht="15" customHeight="1" x14ac:dyDescent="0.2">
      <c r="A14" s="14" t="s">
        <v>30</v>
      </c>
      <c r="B14" s="15" t="s">
        <v>31</v>
      </c>
      <c r="C14" s="16" t="s">
        <v>32</v>
      </c>
      <c r="D14" s="17"/>
    </row>
    <row r="15" spans="1:4" ht="15" customHeight="1" x14ac:dyDescent="0.2">
      <c r="A15" s="10" t="s">
        <v>33</v>
      </c>
      <c r="B15" s="11" t="s">
        <v>34</v>
      </c>
      <c r="C15" s="12" t="s">
        <v>35</v>
      </c>
      <c r="D15" s="13"/>
    </row>
    <row r="16" spans="1:4" ht="15" customHeight="1" x14ac:dyDescent="0.2">
      <c r="A16" s="14" t="s">
        <v>36</v>
      </c>
      <c r="B16" s="15" t="s">
        <v>37</v>
      </c>
      <c r="C16" s="16" t="s">
        <v>38</v>
      </c>
      <c r="D16" s="17"/>
    </row>
    <row r="17" spans="1:4" ht="15" customHeight="1" x14ac:dyDescent="0.2">
      <c r="A17" s="10" t="s">
        <v>39</v>
      </c>
      <c r="B17" s="11" t="s">
        <v>40</v>
      </c>
      <c r="C17" s="12" t="s">
        <v>41</v>
      </c>
      <c r="D17" s="13"/>
    </row>
    <row r="18" spans="1:4" ht="15" customHeight="1" x14ac:dyDescent="0.2">
      <c r="A18" s="14" t="s">
        <v>42</v>
      </c>
      <c r="B18" s="15" t="s">
        <v>43</v>
      </c>
      <c r="C18" s="16" t="s">
        <v>44</v>
      </c>
      <c r="D18" s="17"/>
    </row>
    <row r="19" spans="1:4" ht="15" customHeight="1" x14ac:dyDescent="0.2">
      <c r="A19" s="10" t="s">
        <v>45</v>
      </c>
      <c r="B19" s="11" t="s">
        <v>46</v>
      </c>
      <c r="C19" s="12" t="s">
        <v>47</v>
      </c>
      <c r="D19" s="13"/>
    </row>
    <row r="20" spans="1:4" ht="15" customHeight="1" x14ac:dyDescent="0.2">
      <c r="A20" s="14" t="s">
        <v>48</v>
      </c>
      <c r="B20" s="15" t="s">
        <v>49</v>
      </c>
      <c r="C20" s="16" t="s">
        <v>50</v>
      </c>
      <c r="D20" s="17"/>
    </row>
    <row r="21" spans="1:4" ht="15" customHeight="1" x14ac:dyDescent="0.2">
      <c r="A21" s="11" t="s">
        <v>51</v>
      </c>
      <c r="B21" s="11" t="s">
        <v>52</v>
      </c>
      <c r="C21" s="11" t="s">
        <v>53</v>
      </c>
      <c r="D21" s="13"/>
    </row>
    <row r="22" spans="1:4" ht="15" customHeight="1" x14ac:dyDescent="0.2">
      <c r="A22" s="15" t="s">
        <v>54</v>
      </c>
      <c r="B22" s="15" t="s">
        <v>55</v>
      </c>
      <c r="C22" s="15" t="s">
        <v>56</v>
      </c>
    </row>
    <row r="23" spans="1:4" ht="15" customHeight="1" x14ac:dyDescent="0.2">
      <c r="A23" s="15" t="s">
        <v>57</v>
      </c>
      <c r="B23" s="15" t="s">
        <v>58</v>
      </c>
      <c r="C23" s="15" t="s">
        <v>59</v>
      </c>
    </row>
    <row r="24" spans="1:4" ht="15" customHeight="1" x14ac:dyDescent="0.2">
      <c r="A24" s="18" t="s">
        <v>60</v>
      </c>
      <c r="B24" s="19" t="s">
        <v>61</v>
      </c>
      <c r="C24" s="20"/>
      <c r="D24" s="20"/>
    </row>
    <row r="25" spans="1:4" ht="15" customHeight="1" x14ac:dyDescent="0.2">
      <c r="A25" s="21" t="s">
        <v>62</v>
      </c>
      <c r="B25" s="15" t="s">
        <v>63</v>
      </c>
    </row>
    <row r="26" spans="1:4" ht="15" customHeight="1" x14ac:dyDescent="0.2">
      <c r="A26" s="22"/>
      <c r="B26" s="17"/>
    </row>
    <row r="27" spans="1:4" ht="15" customHeight="1" x14ac:dyDescent="0.2">
      <c r="A27" s="23" t="s">
        <v>64</v>
      </c>
      <c r="B27" s="17"/>
    </row>
    <row r="28" spans="1:4" ht="15" customHeight="1" x14ac:dyDescent="0.2">
      <c r="A28" s="24" t="s">
        <v>65</v>
      </c>
      <c r="B28" s="16" t="s">
        <v>66</v>
      </c>
    </row>
    <row r="29" spans="1:4" ht="15" customHeight="1" x14ac:dyDescent="0.2">
      <c r="A29" s="24" t="s">
        <v>67</v>
      </c>
      <c r="B29" s="16" t="s">
        <v>68</v>
      </c>
    </row>
    <row r="30" spans="1:4" ht="15" customHeight="1" x14ac:dyDescent="0.2">
      <c r="A30" s="24" t="s">
        <v>69</v>
      </c>
      <c r="B30" s="16" t="s">
        <v>70</v>
      </c>
    </row>
    <row r="31" spans="1:4" ht="15" customHeight="1" x14ac:dyDescent="0.2">
      <c r="A31" s="24" t="s">
        <v>71</v>
      </c>
      <c r="B31" s="16" t="s">
        <v>72</v>
      </c>
    </row>
    <row r="32" spans="1:4" ht="15" customHeight="1" x14ac:dyDescent="0.2">
      <c r="A32" s="25" t="s">
        <v>73</v>
      </c>
      <c r="B32" s="26" t="s">
        <v>74</v>
      </c>
      <c r="C32" s="20"/>
      <c r="D32" s="20"/>
    </row>
    <row r="33" spans="1:4" ht="15" customHeight="1" x14ac:dyDescent="0.2">
      <c r="A33" s="24" t="s">
        <v>75</v>
      </c>
      <c r="B33" s="16" t="s">
        <v>76</v>
      </c>
    </row>
    <row r="34" spans="1:4" ht="15" customHeight="1" x14ac:dyDescent="0.2">
      <c r="A34" s="24" t="s">
        <v>77</v>
      </c>
      <c r="B34" s="16" t="s">
        <v>78</v>
      </c>
    </row>
    <row r="35" spans="1:4" ht="15" customHeight="1" x14ac:dyDescent="0.2">
      <c r="A35" s="24" t="s">
        <v>79</v>
      </c>
      <c r="B35" s="16" t="s">
        <v>80</v>
      </c>
    </row>
    <row r="36" spans="1:4" ht="15" customHeight="1" x14ac:dyDescent="0.2">
      <c r="A36" s="24" t="s">
        <v>81</v>
      </c>
      <c r="B36" s="16" t="s">
        <v>82</v>
      </c>
    </row>
    <row r="37" spans="1:4" ht="15" customHeight="1" x14ac:dyDescent="0.2">
      <c r="A37" s="17"/>
      <c r="B37" s="17"/>
    </row>
    <row r="38" spans="1:4" ht="15" customHeight="1" x14ac:dyDescent="0.2">
      <c r="A38" s="17"/>
      <c r="B38" s="17"/>
    </row>
    <row r="39" spans="1:4" ht="15" customHeight="1" x14ac:dyDescent="0.2">
      <c r="A39" s="17"/>
      <c r="B39" s="17"/>
    </row>
    <row r="40" spans="1:4" ht="15" customHeight="1" x14ac:dyDescent="0.2">
      <c r="A40" s="17"/>
      <c r="B40" s="17"/>
    </row>
    <row r="41" spans="1:4" ht="15" customHeight="1" x14ac:dyDescent="0.2">
      <c r="A41" s="17"/>
      <c r="B41" s="17"/>
    </row>
    <row r="42" spans="1:4" ht="15" customHeight="1" x14ac:dyDescent="0.2">
      <c r="A42" s="17"/>
      <c r="B42" s="17"/>
    </row>
    <row r="43" spans="1:4" ht="15" customHeight="1" x14ac:dyDescent="0.2">
      <c r="A43" s="17"/>
      <c r="B43" s="17"/>
    </row>
    <row r="44" spans="1:4" ht="15" customHeight="1" x14ac:dyDescent="0.2">
      <c r="A44" s="17"/>
      <c r="B44" s="17"/>
    </row>
    <row r="46" spans="1:4" ht="15" customHeight="1" x14ac:dyDescent="0.2">
      <c r="A46" s="27"/>
      <c r="B46" s="20"/>
      <c r="C46" s="20"/>
      <c r="D46" s="20"/>
    </row>
    <row r="47" spans="1:4" ht="15" customHeight="1" x14ac:dyDescent="0.2">
      <c r="A47" s="22"/>
      <c r="B47" s="17"/>
      <c r="C47" s="22"/>
    </row>
    <row r="48" spans="1:4" ht="15" customHeight="1" x14ac:dyDescent="0.2">
      <c r="A48" s="22"/>
      <c r="B48" s="17"/>
      <c r="C48" s="22"/>
    </row>
    <row r="49" spans="1:3" ht="15" customHeight="1" x14ac:dyDescent="0.2">
      <c r="A49" s="22"/>
      <c r="B49" s="17"/>
      <c r="C49" s="22"/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F8F00"/>
    <pageSetUpPr fitToPage="1"/>
  </sheetPr>
  <dimension ref="A1:X4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496</v>
      </c>
    </row>
    <row r="3" spans="1:24" ht="15" customHeight="1" x14ac:dyDescent="0.2">
      <c r="A3" s="72"/>
      <c r="B3" s="72"/>
      <c r="C3" s="72" t="s">
        <v>304</v>
      </c>
      <c r="D3" s="72" t="s">
        <v>305</v>
      </c>
      <c r="E3" s="72" t="s">
        <v>306</v>
      </c>
      <c r="F3" s="72" t="s">
        <v>307</v>
      </c>
      <c r="G3" s="72" t="s">
        <v>308</v>
      </c>
      <c r="H3" s="72" t="s">
        <v>309</v>
      </c>
      <c r="I3" s="72" t="s">
        <v>310</v>
      </c>
      <c r="J3" s="72" t="s">
        <v>311</v>
      </c>
      <c r="K3" s="72" t="s">
        <v>312</v>
      </c>
      <c r="L3" s="72" t="s">
        <v>313</v>
      </c>
      <c r="M3" s="72" t="s">
        <v>314</v>
      </c>
      <c r="N3" s="72" t="s">
        <v>315</v>
      </c>
      <c r="O3" s="72" t="s">
        <v>316</v>
      </c>
      <c r="P3" s="72" t="s">
        <v>317</v>
      </c>
      <c r="Q3" s="72" t="s">
        <v>318</v>
      </c>
      <c r="R3" s="72" t="s">
        <v>319</v>
      </c>
      <c r="S3" s="72" t="s">
        <v>320</v>
      </c>
      <c r="T3" s="72" t="s">
        <v>321</v>
      </c>
      <c r="U3" s="72" t="s">
        <v>322</v>
      </c>
      <c r="V3" s="72" t="s">
        <v>323</v>
      </c>
      <c r="W3" s="72" t="s">
        <v>324</v>
      </c>
      <c r="X3" s="103" t="s">
        <v>124</v>
      </c>
    </row>
    <row r="5" spans="1:24" ht="15" customHeight="1" x14ac:dyDescent="0.2">
      <c r="A5" s="22" t="s">
        <v>129</v>
      </c>
      <c r="C5" s="40">
        <f>Assumptions!B53</f>
        <v>865000000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</row>
    <row r="6" spans="1:24" ht="15" customHeight="1" x14ac:dyDescent="0.2">
      <c r="A6" s="22" t="s">
        <v>497</v>
      </c>
      <c r="C6" s="37">
        <f>IF(2025=Assumptions!B56,Assumptions!B55,0)</f>
        <v>0</v>
      </c>
      <c r="D6" s="37">
        <f>IF(2026=Assumptions!B56,Assumptions!B55,0)</f>
        <v>0</v>
      </c>
      <c r="E6" s="37">
        <f>IF(2027=Assumptions!B56,Assumptions!B55,0)</f>
        <v>0</v>
      </c>
      <c r="F6" s="37">
        <f>IF(2028=Assumptions!B56,Assumptions!B55,0)</f>
        <v>0</v>
      </c>
      <c r="G6" s="37">
        <f>IF(2029=Assumptions!B56,Assumptions!B55,0)</f>
        <v>0</v>
      </c>
      <c r="H6" s="37">
        <f>IF(2030=Assumptions!B56,Assumptions!B55,0)</f>
        <v>90000000</v>
      </c>
      <c r="I6" s="37">
        <f>IF(2031=Assumptions!B56,Assumptions!B55,0)</f>
        <v>0</v>
      </c>
      <c r="J6" s="37">
        <f>IF(2032=Assumptions!B56,Assumptions!B55,0)</f>
        <v>0</v>
      </c>
      <c r="K6" s="37">
        <f>IF(2033=Assumptions!B56,Assumptions!B55,0)</f>
        <v>0</v>
      </c>
      <c r="L6" s="37">
        <f>IF(2034=Assumptions!B56,Assumptions!B55,0)</f>
        <v>0</v>
      </c>
      <c r="M6" s="37">
        <f>IF(2035=Assumptions!B56,Assumptions!B55,0)</f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</row>
    <row r="7" spans="1:24" ht="15" customHeight="1" x14ac:dyDescent="0.2">
      <c r="A7" s="22" t="s">
        <v>498</v>
      </c>
      <c r="C7" s="63">
        <v>0</v>
      </c>
      <c r="D7" s="63">
        <v>0</v>
      </c>
      <c r="E7" s="79">
        <v>0</v>
      </c>
      <c r="F7" s="79">
        <f>IF(Operations!F7=0,0,Assumptions!$B$54)</f>
        <v>9000000</v>
      </c>
      <c r="G7" s="79">
        <f>IF(Operations!G7=0,0,Assumptions!$B$54)</f>
        <v>9000000</v>
      </c>
      <c r="H7" s="79">
        <f>IF(Operations!H7=0,0,Assumptions!$B$54)</f>
        <v>9000000</v>
      </c>
      <c r="I7" s="79">
        <f>IF(Operations!I7=0,0,Assumptions!$B$54)</f>
        <v>9000000</v>
      </c>
      <c r="J7" s="79">
        <f>IF(Operations!J7=0,0,Assumptions!$B$54)</f>
        <v>9000000</v>
      </c>
      <c r="K7" s="79">
        <f>IF(Operations!K7=0,0,Assumptions!$B$54)</f>
        <v>9000000</v>
      </c>
      <c r="L7" s="79">
        <f>IF(Operations!L7=0,0,Assumptions!$B$54)</f>
        <v>9000000</v>
      </c>
      <c r="M7" s="79">
        <f>IF(Operations!M7=0,0,Assumptions!$B$54)</f>
        <v>9000000</v>
      </c>
      <c r="N7" s="79">
        <f>IF(Operations!N7=0,0,Assumptions!$B$54)</f>
        <v>0</v>
      </c>
      <c r="O7" s="79">
        <f>IF(Operations!O7=0,0,Assumptions!$B$54)</f>
        <v>0</v>
      </c>
      <c r="P7" s="79">
        <f>IF(Operations!P7=0,0,Assumptions!$B$54)</f>
        <v>0</v>
      </c>
      <c r="Q7" s="79">
        <f>IF(Operations!Q7=0,0,Assumptions!$B$54)</f>
        <v>0</v>
      </c>
      <c r="R7" s="79">
        <f>IF(Operations!R7=0,0,Assumptions!$B$54)</f>
        <v>0</v>
      </c>
      <c r="S7" s="79">
        <f>IF(Operations!S7=0,0,Assumptions!$B$54)</f>
        <v>0</v>
      </c>
      <c r="T7" s="79">
        <f>IF(Operations!T7=0,0,Assumptions!$B$54)</f>
        <v>0</v>
      </c>
      <c r="U7" s="79">
        <f>IF(Operations!U7=0,0,Assumptions!$B$54)</f>
        <v>0</v>
      </c>
      <c r="V7" s="79">
        <f>IF(Operations!V7=0,0,Assumptions!$B$54)</f>
        <v>0</v>
      </c>
      <c r="W7" s="79">
        <f>IF(Operations!W7=0,0,Assumptions!$B$54)</f>
        <v>0</v>
      </c>
    </row>
    <row r="8" spans="1:24" ht="15" customHeight="1" x14ac:dyDescent="0.2">
      <c r="A8" s="22" t="s">
        <v>276</v>
      </c>
      <c r="C8" s="42">
        <f t="shared" ref="C8:W8" si="0">SUM(C5:C7)</f>
        <v>865000000</v>
      </c>
      <c r="D8" s="42">
        <f t="shared" si="0"/>
        <v>0</v>
      </c>
      <c r="E8" s="42">
        <f t="shared" si="0"/>
        <v>0</v>
      </c>
      <c r="F8" s="42">
        <f t="shared" si="0"/>
        <v>9000000</v>
      </c>
      <c r="G8" s="42">
        <f t="shared" si="0"/>
        <v>9000000</v>
      </c>
      <c r="H8" s="42">
        <f t="shared" si="0"/>
        <v>99000000</v>
      </c>
      <c r="I8" s="42">
        <f t="shared" si="0"/>
        <v>9000000</v>
      </c>
      <c r="J8" s="42">
        <f t="shared" si="0"/>
        <v>9000000</v>
      </c>
      <c r="K8" s="42">
        <f t="shared" si="0"/>
        <v>9000000</v>
      </c>
      <c r="L8" s="42">
        <f t="shared" si="0"/>
        <v>9000000</v>
      </c>
      <c r="M8" s="42">
        <f t="shared" si="0"/>
        <v>9000000</v>
      </c>
      <c r="N8" s="42">
        <f t="shared" si="0"/>
        <v>0</v>
      </c>
      <c r="O8" s="42">
        <f t="shared" si="0"/>
        <v>0</v>
      </c>
      <c r="P8" s="42">
        <f t="shared" si="0"/>
        <v>0</v>
      </c>
      <c r="Q8" s="42">
        <f t="shared" si="0"/>
        <v>0</v>
      </c>
      <c r="R8" s="42">
        <f t="shared" si="0"/>
        <v>0</v>
      </c>
      <c r="S8" s="42">
        <f t="shared" si="0"/>
        <v>0</v>
      </c>
      <c r="T8" s="42">
        <f t="shared" si="0"/>
        <v>0</v>
      </c>
      <c r="U8" s="42">
        <f t="shared" si="0"/>
        <v>0</v>
      </c>
      <c r="V8" s="42">
        <f t="shared" si="0"/>
        <v>0</v>
      </c>
      <c r="W8" s="42">
        <f t="shared" si="0"/>
        <v>0</v>
      </c>
      <c r="X8">
        <f>SUM(C8:W8)</f>
        <v>1027000000</v>
      </c>
    </row>
    <row r="10" spans="1:24" ht="15" customHeight="1" x14ac:dyDescent="0.2">
      <c r="A10" s="107" t="s">
        <v>499</v>
      </c>
    </row>
    <row r="11" spans="1:24" ht="15" customHeight="1" x14ac:dyDescent="0.2">
      <c r="A11" s="4" t="s">
        <v>500</v>
      </c>
      <c r="B11" s="40">
        <f>C8</f>
        <v>865000000</v>
      </c>
      <c r="C11" s="37">
        <v>0</v>
      </c>
      <c r="D11" s="37">
        <f>C8/Assumptions!B61</f>
        <v>86500000</v>
      </c>
      <c r="E11" s="37">
        <f>C8/Assumptions!B61</f>
        <v>86500000</v>
      </c>
      <c r="F11" s="37">
        <f>C8/Assumptions!B61</f>
        <v>86500000</v>
      </c>
      <c r="G11" s="37">
        <f>C8/Assumptions!B61</f>
        <v>86500000</v>
      </c>
      <c r="H11" s="37">
        <f>C8/Assumptions!B61</f>
        <v>86500000</v>
      </c>
      <c r="I11" s="37">
        <f>C8/Assumptions!B61</f>
        <v>86500000</v>
      </c>
      <c r="J11" s="37">
        <f>C8/Assumptions!B61</f>
        <v>86500000</v>
      </c>
      <c r="K11" s="37">
        <f>C8/Assumptions!B61</f>
        <v>86500000</v>
      </c>
      <c r="L11" s="37">
        <f>C8/Assumptions!B61</f>
        <v>86500000</v>
      </c>
      <c r="M11" s="37">
        <f>C8/Assumptions!B61</f>
        <v>86500000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</row>
    <row r="12" spans="1:24" ht="15" customHeight="1" x14ac:dyDescent="0.2">
      <c r="A12" s="4" t="s">
        <v>501</v>
      </c>
      <c r="B12" s="40">
        <f>D8</f>
        <v>0</v>
      </c>
      <c r="C12" s="37">
        <v>0</v>
      </c>
      <c r="D12" s="37">
        <v>0</v>
      </c>
      <c r="E12" s="37">
        <f>D8/Assumptions!B61</f>
        <v>0</v>
      </c>
      <c r="F12" s="37">
        <f>D8/Assumptions!B61</f>
        <v>0</v>
      </c>
      <c r="G12" s="37">
        <f>D8/Assumptions!B61</f>
        <v>0</v>
      </c>
      <c r="H12" s="37">
        <f>D8/Assumptions!B61</f>
        <v>0</v>
      </c>
      <c r="I12" s="37">
        <f>D8/Assumptions!B61</f>
        <v>0</v>
      </c>
      <c r="J12" s="37">
        <f>D8/Assumptions!B61</f>
        <v>0</v>
      </c>
      <c r="K12" s="37">
        <f>D8/Assumptions!B61</f>
        <v>0</v>
      </c>
      <c r="L12" s="37">
        <f>D8/Assumptions!B61</f>
        <v>0</v>
      </c>
      <c r="M12" s="37">
        <f>D8/Assumptions!B61</f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</row>
    <row r="13" spans="1:24" ht="15" customHeight="1" x14ac:dyDescent="0.2">
      <c r="A13" s="4" t="s">
        <v>502</v>
      </c>
      <c r="B13" s="40">
        <f>E8</f>
        <v>0</v>
      </c>
      <c r="C13" s="37">
        <v>0</v>
      </c>
      <c r="D13" s="37">
        <v>0</v>
      </c>
      <c r="E13" s="37">
        <v>0</v>
      </c>
      <c r="F13" s="37">
        <f>E8/Assumptions!B61</f>
        <v>0</v>
      </c>
      <c r="G13" s="37">
        <f>E8/Assumptions!B61</f>
        <v>0</v>
      </c>
      <c r="H13" s="37">
        <f>E8/Assumptions!B61</f>
        <v>0</v>
      </c>
      <c r="I13" s="37">
        <f>E8/Assumptions!B61</f>
        <v>0</v>
      </c>
      <c r="J13" s="37">
        <f>E8/Assumptions!B61</f>
        <v>0</v>
      </c>
      <c r="K13" s="37">
        <f>E8/Assumptions!B61</f>
        <v>0</v>
      </c>
      <c r="L13" s="37">
        <f>E8/Assumptions!B61</f>
        <v>0</v>
      </c>
      <c r="M13" s="37">
        <f>E8/Assumptions!B61</f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</row>
    <row r="14" spans="1:24" ht="15" customHeight="1" x14ac:dyDescent="0.2">
      <c r="A14" s="4" t="s">
        <v>503</v>
      </c>
      <c r="B14" s="40">
        <f>F8</f>
        <v>9000000</v>
      </c>
      <c r="C14" s="37">
        <v>0</v>
      </c>
      <c r="D14" s="37">
        <v>0</v>
      </c>
      <c r="E14" s="37">
        <v>0</v>
      </c>
      <c r="F14" s="37">
        <v>0</v>
      </c>
      <c r="G14" s="37">
        <f>F8/Assumptions!B61</f>
        <v>900000</v>
      </c>
      <c r="H14" s="37">
        <f>F8/Assumptions!B61</f>
        <v>900000</v>
      </c>
      <c r="I14" s="37">
        <f>F8/Assumptions!B61</f>
        <v>900000</v>
      </c>
      <c r="J14" s="37">
        <f>F8/Assumptions!B61</f>
        <v>900000</v>
      </c>
      <c r="K14" s="37">
        <f>F8/Assumptions!B61</f>
        <v>900000</v>
      </c>
      <c r="L14" s="37">
        <f>F8/Assumptions!B61</f>
        <v>900000</v>
      </c>
      <c r="M14" s="37">
        <f>F8/Assumptions!B61</f>
        <v>900000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</row>
    <row r="15" spans="1:24" ht="15" customHeight="1" x14ac:dyDescent="0.2">
      <c r="A15" s="4" t="s">
        <v>504</v>
      </c>
      <c r="B15" s="40">
        <f>G8</f>
        <v>9000000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f>G8/Assumptions!B61</f>
        <v>900000</v>
      </c>
      <c r="I15" s="37">
        <f>G8/Assumptions!B61</f>
        <v>900000</v>
      </c>
      <c r="J15" s="37">
        <f>G8/Assumptions!B61</f>
        <v>900000</v>
      </c>
      <c r="K15" s="37">
        <f>G8/Assumptions!B61</f>
        <v>900000</v>
      </c>
      <c r="L15" s="37">
        <f>G8/Assumptions!B61</f>
        <v>900000</v>
      </c>
      <c r="M15" s="37">
        <f>G8/Assumptions!B61</f>
        <v>900000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</row>
    <row r="16" spans="1:24" ht="15" customHeight="1" x14ac:dyDescent="0.2">
      <c r="A16" s="4" t="s">
        <v>505</v>
      </c>
      <c r="B16" s="40">
        <f>H8</f>
        <v>99000000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f>H8/Assumptions!B61</f>
        <v>9900000</v>
      </c>
      <c r="J16" s="37">
        <f>H8/Assumptions!B61</f>
        <v>9900000</v>
      </c>
      <c r="K16" s="37">
        <f>H8/Assumptions!B61</f>
        <v>9900000</v>
      </c>
      <c r="L16" s="37">
        <f>H8/Assumptions!B61</f>
        <v>9900000</v>
      </c>
      <c r="M16" s="37">
        <f>H8/Assumptions!B61</f>
        <v>9900000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</row>
    <row r="17" spans="1:23" ht="15" customHeight="1" x14ac:dyDescent="0.2">
      <c r="A17" s="4" t="s">
        <v>506</v>
      </c>
      <c r="B17" s="40">
        <f>I8</f>
        <v>9000000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f>I8/Assumptions!B61</f>
        <v>900000</v>
      </c>
      <c r="K17" s="37">
        <f>I8/Assumptions!B61</f>
        <v>900000</v>
      </c>
      <c r="L17" s="37">
        <f>I8/Assumptions!B61</f>
        <v>900000</v>
      </c>
      <c r="M17" s="37">
        <f>I8/Assumptions!B61</f>
        <v>900000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</row>
    <row r="18" spans="1:23" ht="15" customHeight="1" x14ac:dyDescent="0.2">
      <c r="A18" s="4" t="s">
        <v>507</v>
      </c>
      <c r="B18" s="40">
        <f>J8</f>
        <v>9000000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f>J8/Assumptions!B61</f>
        <v>900000</v>
      </c>
      <c r="L18" s="37">
        <f>J8/Assumptions!B61</f>
        <v>900000</v>
      </c>
      <c r="M18" s="37">
        <f>J8/Assumptions!B61</f>
        <v>900000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</row>
    <row r="19" spans="1:23" ht="15" customHeight="1" x14ac:dyDescent="0.2">
      <c r="A19" s="4" t="s">
        <v>508</v>
      </c>
      <c r="B19" s="40">
        <f>K8</f>
        <v>9000000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f>K8/Assumptions!B61</f>
        <v>900000</v>
      </c>
      <c r="M19" s="37">
        <f>K8/Assumptions!B61</f>
        <v>900000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</row>
    <row r="20" spans="1:23" ht="15" customHeight="1" x14ac:dyDescent="0.2">
      <c r="A20" s="4" t="s">
        <v>509</v>
      </c>
      <c r="B20" s="40">
        <f>L8</f>
        <v>9000000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f>L8/Assumptions!B61</f>
        <v>900000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</row>
    <row r="21" spans="1:23" ht="15" customHeight="1" x14ac:dyDescent="0.2">
      <c r="A21" s="4" t="s">
        <v>510</v>
      </c>
      <c r="B21" s="40">
        <f>M8</f>
        <v>9000000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</row>
    <row r="22" spans="1:23" ht="15" customHeight="1" x14ac:dyDescent="0.2">
      <c r="A22" s="4" t="s">
        <v>511</v>
      </c>
      <c r="B22" s="40">
        <f>N8</f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</row>
    <row r="23" spans="1:23" ht="15" customHeight="1" x14ac:dyDescent="0.2">
      <c r="A23" s="4" t="s">
        <v>512</v>
      </c>
      <c r="B23" s="40">
        <f>O8</f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</row>
    <row r="24" spans="1:23" ht="15" customHeight="1" x14ac:dyDescent="0.2">
      <c r="A24" s="4" t="s">
        <v>513</v>
      </c>
      <c r="B24" s="40">
        <f>P8</f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</row>
    <row r="25" spans="1:23" ht="15" customHeight="1" x14ac:dyDescent="0.2">
      <c r="A25" s="4" t="s">
        <v>514</v>
      </c>
      <c r="B25" s="40">
        <f>Q8</f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</row>
    <row r="26" spans="1:23" ht="15" customHeight="1" x14ac:dyDescent="0.2">
      <c r="A26" s="4" t="s">
        <v>515</v>
      </c>
      <c r="B26" s="40">
        <f>R8</f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</row>
    <row r="27" spans="1:23" ht="15" customHeight="1" x14ac:dyDescent="0.2">
      <c r="A27" s="4" t="s">
        <v>516</v>
      </c>
      <c r="B27" s="40">
        <f>S8</f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</row>
    <row r="28" spans="1:23" ht="15" customHeight="1" x14ac:dyDescent="0.2">
      <c r="A28" s="4" t="s">
        <v>517</v>
      </c>
      <c r="B28" s="40">
        <f>T8</f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</row>
    <row r="29" spans="1:23" ht="15" customHeight="1" x14ac:dyDescent="0.2">
      <c r="A29" s="4" t="s">
        <v>518</v>
      </c>
      <c r="B29" s="40">
        <f>U8</f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</row>
    <row r="30" spans="1:23" ht="15" customHeight="1" x14ac:dyDescent="0.2">
      <c r="A30" s="4" t="s">
        <v>519</v>
      </c>
      <c r="B30" s="40">
        <f>V8</f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</row>
    <row r="31" spans="1:23" ht="15" customHeight="1" x14ac:dyDescent="0.2">
      <c r="A31" s="4" t="s">
        <v>520</v>
      </c>
      <c r="B31" s="40">
        <f>W8</f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</row>
    <row r="34" spans="1:24" ht="15" customHeight="1" x14ac:dyDescent="0.2">
      <c r="A34" s="22" t="s">
        <v>521</v>
      </c>
      <c r="C34" s="37">
        <f t="shared" ref="C34:M34" si="1">SUM(C11:C31)</f>
        <v>0</v>
      </c>
      <c r="D34" s="37">
        <f t="shared" si="1"/>
        <v>86500000</v>
      </c>
      <c r="E34" s="37">
        <f t="shared" si="1"/>
        <v>86500000</v>
      </c>
      <c r="F34" s="37">
        <f t="shared" si="1"/>
        <v>86500000</v>
      </c>
      <c r="G34" s="37">
        <f t="shared" si="1"/>
        <v>87400000</v>
      </c>
      <c r="H34" s="37">
        <f t="shared" si="1"/>
        <v>88300000</v>
      </c>
      <c r="I34" s="37">
        <f t="shared" si="1"/>
        <v>98200000</v>
      </c>
      <c r="J34" s="37">
        <f t="shared" si="1"/>
        <v>99100000</v>
      </c>
      <c r="K34" s="37">
        <f t="shared" si="1"/>
        <v>100000000</v>
      </c>
      <c r="L34" s="37">
        <f t="shared" si="1"/>
        <v>100900000</v>
      </c>
      <c r="M34" s="37">
        <f t="shared" si="1"/>
        <v>101800000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>
        <f>SUM(C34:W34)</f>
        <v>935200000</v>
      </c>
    </row>
    <row r="36" spans="1:24" ht="15" customHeight="1" x14ac:dyDescent="0.2">
      <c r="A36" s="22" t="s">
        <v>522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40">
        <f>Assumptions!B53*Assumptions!B62</f>
        <v>86500000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</row>
    <row r="38" spans="1:24" ht="15" customHeight="1" x14ac:dyDescent="0.2">
      <c r="A38" s="22" t="s">
        <v>523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f>M36-(L40+M8-M34)</f>
        <v>-5300000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</row>
    <row r="40" spans="1:24" ht="15" customHeight="1" x14ac:dyDescent="0.2">
      <c r="A40" s="22" t="s">
        <v>524</v>
      </c>
      <c r="C40" s="37">
        <f>C8-C34+C36</f>
        <v>865000000</v>
      </c>
      <c r="D40" s="37">
        <f t="shared" ref="D40:L40" si="2">C40+D8-D34+D36</f>
        <v>778500000</v>
      </c>
      <c r="E40" s="37">
        <f t="shared" si="2"/>
        <v>692000000</v>
      </c>
      <c r="F40" s="37">
        <f t="shared" si="2"/>
        <v>614500000</v>
      </c>
      <c r="G40" s="37">
        <f t="shared" si="2"/>
        <v>536100000</v>
      </c>
      <c r="H40" s="37">
        <f t="shared" si="2"/>
        <v>546800000</v>
      </c>
      <c r="I40" s="37">
        <f t="shared" si="2"/>
        <v>457600000</v>
      </c>
      <c r="J40" s="37">
        <f t="shared" si="2"/>
        <v>367500000</v>
      </c>
      <c r="K40" s="37">
        <f t="shared" si="2"/>
        <v>276500000</v>
      </c>
      <c r="L40" s="37">
        <f t="shared" si="2"/>
        <v>184600000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X1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160</v>
      </c>
    </row>
    <row r="3" spans="1:24" ht="15" customHeight="1" x14ac:dyDescent="0.2">
      <c r="A3" s="72"/>
      <c r="B3" s="72"/>
      <c r="C3" s="72" t="s">
        <v>304</v>
      </c>
      <c r="D3" s="72" t="s">
        <v>305</v>
      </c>
      <c r="E3" s="72" t="s">
        <v>306</v>
      </c>
      <c r="F3" s="72" t="s">
        <v>307</v>
      </c>
      <c r="G3" s="72" t="s">
        <v>308</v>
      </c>
      <c r="H3" s="72" t="s">
        <v>309</v>
      </c>
      <c r="I3" s="72" t="s">
        <v>310</v>
      </c>
      <c r="J3" s="72" t="s">
        <v>311</v>
      </c>
      <c r="K3" s="72" t="s">
        <v>312</v>
      </c>
      <c r="L3" s="72" t="s">
        <v>313</v>
      </c>
      <c r="M3" s="72" t="s">
        <v>314</v>
      </c>
      <c r="N3" s="72" t="s">
        <v>315</v>
      </c>
      <c r="O3" s="72" t="s">
        <v>316</v>
      </c>
      <c r="P3" s="72" t="s">
        <v>317</v>
      </c>
      <c r="Q3" s="72" t="s">
        <v>318</v>
      </c>
      <c r="R3" s="72" t="s">
        <v>319</v>
      </c>
      <c r="S3" s="72" t="s">
        <v>320</v>
      </c>
      <c r="T3" s="72" t="s">
        <v>321</v>
      </c>
      <c r="U3" s="72" t="s">
        <v>322</v>
      </c>
      <c r="V3" s="72" t="s">
        <v>323</v>
      </c>
      <c r="W3" s="72" t="s">
        <v>324</v>
      </c>
      <c r="X3" s="103" t="s">
        <v>124</v>
      </c>
    </row>
    <row r="5" spans="1:24" ht="15" customHeight="1" x14ac:dyDescent="0.2">
      <c r="A5" s="22" t="s">
        <v>525</v>
      </c>
      <c r="C5" s="40">
        <f>Assumptions!B46</f>
        <v>55000000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>
        <f>SUM(C5:W5)</f>
        <v>55000000</v>
      </c>
    </row>
    <row r="14" spans="1:24" ht="15" customHeight="1" x14ac:dyDescent="0.2">
      <c r="A14" s="22" t="s">
        <v>526</v>
      </c>
      <c r="C14" s="37">
        <v>0</v>
      </c>
      <c r="D14" s="37">
        <f>C5/Assumptions!B47</f>
        <v>5500000</v>
      </c>
      <c r="E14" s="37">
        <f>C5/Assumptions!B47</f>
        <v>5500000</v>
      </c>
      <c r="F14" s="37">
        <f>C5/Assumptions!B47</f>
        <v>5500000</v>
      </c>
      <c r="G14" s="37">
        <f>C5/Assumptions!B47</f>
        <v>5500000</v>
      </c>
      <c r="H14" s="37">
        <f>C5/Assumptions!B47</f>
        <v>5500000</v>
      </c>
      <c r="I14" s="37">
        <f>C5/Assumptions!B47</f>
        <v>5500000</v>
      </c>
      <c r="J14" s="37">
        <f>C5/Assumptions!B47</f>
        <v>5500000</v>
      </c>
      <c r="K14" s="37">
        <f>C5/Assumptions!B47</f>
        <v>5500000</v>
      </c>
      <c r="L14" s="37">
        <f>C5/Assumptions!B47</f>
        <v>5500000</v>
      </c>
      <c r="M14" s="37">
        <f>C5/Assumptions!B47</f>
        <v>5500000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>
        <f>SUM(C14:W14)</f>
        <v>55000000</v>
      </c>
    </row>
    <row r="16" spans="1:24" ht="15" customHeight="1" x14ac:dyDescent="0.2">
      <c r="A16" s="22" t="s">
        <v>527</v>
      </c>
      <c r="C16" s="37">
        <f>C5-C14</f>
        <v>55000000</v>
      </c>
      <c r="D16" s="37">
        <f t="shared" ref="D16:W16" si="0">C16+D5-D14</f>
        <v>49500000</v>
      </c>
      <c r="E16" s="37">
        <f t="shared" si="0"/>
        <v>44000000</v>
      </c>
      <c r="F16" s="37">
        <f t="shared" si="0"/>
        <v>38500000</v>
      </c>
      <c r="G16" s="37">
        <f t="shared" si="0"/>
        <v>33000000</v>
      </c>
      <c r="H16" s="37">
        <f t="shared" si="0"/>
        <v>27500000</v>
      </c>
      <c r="I16" s="37">
        <f t="shared" si="0"/>
        <v>22000000</v>
      </c>
      <c r="J16" s="37">
        <f t="shared" si="0"/>
        <v>16500000</v>
      </c>
      <c r="K16" s="37">
        <f t="shared" si="0"/>
        <v>11000000</v>
      </c>
      <c r="L16" s="37">
        <f t="shared" si="0"/>
        <v>5500000</v>
      </c>
      <c r="M16" s="37">
        <f t="shared" si="0"/>
        <v>0</v>
      </c>
      <c r="N16" s="37">
        <f t="shared" si="0"/>
        <v>0</v>
      </c>
      <c r="O16" s="37">
        <f t="shared" si="0"/>
        <v>0</v>
      </c>
      <c r="P16" s="37">
        <f t="shared" si="0"/>
        <v>0</v>
      </c>
      <c r="Q16" s="37">
        <f t="shared" si="0"/>
        <v>0</v>
      </c>
      <c r="R16" s="37">
        <f t="shared" si="0"/>
        <v>0</v>
      </c>
      <c r="S16" s="37">
        <f t="shared" si="0"/>
        <v>0</v>
      </c>
      <c r="T16" s="37">
        <f t="shared" si="0"/>
        <v>0</v>
      </c>
      <c r="U16" s="37">
        <f t="shared" si="0"/>
        <v>0</v>
      </c>
      <c r="V16" s="37">
        <f t="shared" si="0"/>
        <v>0</v>
      </c>
      <c r="W16" s="37">
        <f t="shared" si="0"/>
        <v>0</v>
      </c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  <pageSetUpPr fitToPage="1"/>
  </sheetPr>
  <dimension ref="A1:X29"/>
  <sheetViews>
    <sheetView zoomScaleNormal="100" workbookViewId="0">
      <pane xSplit="2" ySplit="3" topLeftCell="Q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5" customHeight="1" x14ac:dyDescent="0.2">
      <c r="A2" s="4" t="s">
        <v>442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 customHeight="1" x14ac:dyDescent="0.2">
      <c r="A3" s="72"/>
      <c r="B3" s="72"/>
      <c r="C3" s="72" t="s">
        <v>304</v>
      </c>
      <c r="D3" s="72" t="s">
        <v>305</v>
      </c>
      <c r="E3" s="72" t="s">
        <v>306</v>
      </c>
      <c r="F3" s="72" t="s">
        <v>307</v>
      </c>
      <c r="G3" s="72" t="s">
        <v>308</v>
      </c>
      <c r="H3" s="72" t="s">
        <v>309</v>
      </c>
      <c r="I3" s="72" t="s">
        <v>310</v>
      </c>
      <c r="J3" s="72" t="s">
        <v>311</v>
      </c>
      <c r="K3" s="72" t="s">
        <v>312</v>
      </c>
      <c r="L3" s="72" t="s">
        <v>313</v>
      </c>
      <c r="M3" s="72" t="s">
        <v>314</v>
      </c>
      <c r="N3" s="72" t="s">
        <v>315</v>
      </c>
      <c r="O3" s="72" t="s">
        <v>316</v>
      </c>
      <c r="P3" s="72" t="s">
        <v>317</v>
      </c>
      <c r="Q3" s="72" t="s">
        <v>318</v>
      </c>
      <c r="R3" s="72" t="s">
        <v>319</v>
      </c>
      <c r="S3" s="72" t="s">
        <v>320</v>
      </c>
      <c r="T3" s="72" t="s">
        <v>321</v>
      </c>
      <c r="U3" s="72" t="s">
        <v>322</v>
      </c>
      <c r="V3" s="72" t="s">
        <v>323</v>
      </c>
      <c r="W3" s="72" t="s">
        <v>324</v>
      </c>
      <c r="X3" s="103" t="s">
        <v>124</v>
      </c>
    </row>
    <row r="4" spans="1:24" ht="15" customHeight="1" x14ac:dyDescent="0.2">
      <c r="A4" s="27" t="s">
        <v>528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1:24" ht="15" customHeight="1" x14ac:dyDescent="0.2">
      <c r="A5" s="22" t="s">
        <v>529</v>
      </c>
      <c r="B5" s="4" t="s">
        <v>88</v>
      </c>
      <c r="C5" s="79">
        <f>'Cash Flow'!C33</f>
        <v>435000000</v>
      </c>
      <c r="D5" s="79">
        <f>'Cash Flow'!D33</f>
        <v>5000000</v>
      </c>
      <c r="E5" s="79">
        <f>'Cash Flow'!E33</f>
        <v>5000000</v>
      </c>
      <c r="F5" s="79">
        <f>'Cash Flow'!F33</f>
        <v>5000000</v>
      </c>
      <c r="G5" s="79">
        <f>'Cash Flow'!G33</f>
        <v>5000000</v>
      </c>
      <c r="H5" s="79">
        <f>'Cash Flow'!H33</f>
        <v>5000000</v>
      </c>
      <c r="I5" s="79">
        <f>'Cash Flow'!I33</f>
        <v>5000000</v>
      </c>
      <c r="J5" s="79">
        <f>'Cash Flow'!J33</f>
        <v>5000000</v>
      </c>
      <c r="K5" s="79">
        <f>'Cash Flow'!K33</f>
        <v>5000000</v>
      </c>
      <c r="L5" s="79">
        <f>'Cash Flow'!L33</f>
        <v>5000000</v>
      </c>
      <c r="M5" s="79">
        <f>'Cash Flow'!M33</f>
        <v>5000000</v>
      </c>
      <c r="N5" s="79">
        <f>'Cash Flow'!N33</f>
        <v>664136452.31147766</v>
      </c>
      <c r="O5" s="79">
        <f>'Cash Flow'!O33</f>
        <v>707305321.71172369</v>
      </c>
      <c r="P5" s="79">
        <f>'Cash Flow'!P33</f>
        <v>753280167.62298572</v>
      </c>
      <c r="Q5" s="79">
        <f>'Cash Flow'!Q33</f>
        <v>802243378.51847982</v>
      </c>
      <c r="R5" s="79">
        <f>'Cash Flow'!R33</f>
        <v>854389198.12218106</v>
      </c>
      <c r="S5" s="79">
        <f>'Cash Flow'!S33</f>
        <v>909924496.00012279</v>
      </c>
      <c r="T5" s="79">
        <f>'Cash Flow'!T33</f>
        <v>969069588.24013078</v>
      </c>
      <c r="U5" s="79">
        <f>'Cash Flow'!U33</f>
        <v>1032059111.4757392</v>
      </c>
      <c r="V5" s="79">
        <f>'Cash Flow'!V33</f>
        <v>1099142953.7216623</v>
      </c>
      <c r="W5" s="79">
        <f>'Cash Flow'!W33</f>
        <v>1170587245.7135704</v>
      </c>
      <c r="X5" s="17"/>
    </row>
    <row r="6" spans="1:24" ht="15" customHeight="1" x14ac:dyDescent="0.2">
      <c r="A6" s="22" t="s">
        <v>530</v>
      </c>
      <c r="B6" s="4" t="s">
        <v>88</v>
      </c>
      <c r="C6" s="79">
        <f>'Income Statement'!C5*Assumptions!E5/365</f>
        <v>0</v>
      </c>
      <c r="D6" s="79">
        <f>'Income Statement'!D5*Assumptions!E5/365</f>
        <v>472980976.65417111</v>
      </c>
      <c r="E6" s="79">
        <f>'Income Statement'!E5*Assumptions!E5/365</f>
        <v>982985872.20233643</v>
      </c>
      <c r="F6" s="79">
        <f>'Income Statement'!F5*Assumptions!E5/365</f>
        <v>1290906196.6697183</v>
      </c>
      <c r="G6" s="79">
        <f>'Income Statement'!G5*Assumptions!E5/365</f>
        <v>1356226050.2212059</v>
      </c>
      <c r="H6" s="79">
        <f>'Income Statement'!H5*Assumptions!E5/365</f>
        <v>1005777238.8440465</v>
      </c>
      <c r="I6" s="79">
        <f>'Income Statement'!I5*Assumptions!E5/365</f>
        <v>1496948553.4335368</v>
      </c>
      <c r="J6" s="79">
        <f>'Income Statement'!J5*Assumptions!E5/365</f>
        <v>1572694150.2372737</v>
      </c>
      <c r="K6" s="79">
        <f>'Income Statement'!K5*Assumptions!E5/365</f>
        <v>1652272474.2392795</v>
      </c>
      <c r="L6" s="79">
        <f>'Income Statement'!L5*Assumptions!E5/365</f>
        <v>1735877461.435787</v>
      </c>
      <c r="M6" s="79">
        <f>'Income Statement'!M5*Assumptions!E5/365</f>
        <v>375470294.90856069</v>
      </c>
      <c r="N6" s="79">
        <f>'Income Statement'!N5*Assumptions!E5/365</f>
        <v>0</v>
      </c>
      <c r="O6" s="79">
        <f>'Income Statement'!O5*Assumptions!E5/365</f>
        <v>0</v>
      </c>
      <c r="P6" s="79">
        <f>'Income Statement'!P5*Assumptions!E5/365</f>
        <v>0</v>
      </c>
      <c r="Q6" s="79">
        <f>'Income Statement'!Q5*Assumptions!E5/365</f>
        <v>0</v>
      </c>
      <c r="R6" s="79">
        <f>'Income Statement'!R5*Assumptions!E5/365</f>
        <v>0</v>
      </c>
      <c r="S6" s="79">
        <f>'Income Statement'!S5*Assumptions!E5/365</f>
        <v>0</v>
      </c>
      <c r="T6" s="79">
        <f>'Income Statement'!T5*Assumptions!E5/365</f>
        <v>0</v>
      </c>
      <c r="U6" s="79">
        <f>'Income Statement'!U5*Assumptions!E5/365</f>
        <v>0</v>
      </c>
      <c r="V6" s="79">
        <f>'Income Statement'!V5*Assumptions!E5/365</f>
        <v>0</v>
      </c>
      <c r="W6" s="79">
        <f>'Income Statement'!W5*Assumptions!E5/365</f>
        <v>0</v>
      </c>
      <c r="X6" s="17"/>
    </row>
    <row r="7" spans="1:24" ht="15" customHeight="1" x14ac:dyDescent="0.2">
      <c r="A7" s="22" t="s">
        <v>531</v>
      </c>
      <c r="B7" s="4" t="s">
        <v>88</v>
      </c>
      <c r="C7" s="79">
        <f>(ABS('Income Statement'!C7)+ABS('Income Statement'!C8))*Assumptions!E6/365</f>
        <v>0</v>
      </c>
      <c r="D7" s="79">
        <f>(ABS('Income Statement'!D7)+ABS('Income Statement'!D8))*Assumptions!E6/365</f>
        <v>281287117.80821919</v>
      </c>
      <c r="E7" s="79">
        <f>(ABS('Income Statement'!E7)+ABS('Income Statement'!E8))*Assumptions!E6/365</f>
        <v>578026820.14790142</v>
      </c>
      <c r="F7" s="79">
        <f>(ABS('Income Statement'!F7)+ABS('Income Statement'!F8))*Assumptions!E6/365</f>
        <v>750567825.96204996</v>
      </c>
      <c r="G7" s="79">
        <f>(ABS('Income Statement'!G7)+ABS('Income Statement'!G8))*Assumptions!E6/365</f>
        <v>779689857.60937738</v>
      </c>
      <c r="H7" s="79">
        <f>(ABS('Income Statement'!H7)+ABS('Income Statement'!H8))*Assumptions!E6/365</f>
        <v>571723640.53032088</v>
      </c>
      <c r="I7" s="79">
        <f>(ABS('Income Statement'!I7)+ABS('Income Statement'!I8))*Assumptions!E6/365</f>
        <v>841367566.85910439</v>
      </c>
      <c r="J7" s="79">
        <f>(ABS('Income Statement'!J7)+ABS('Income Statement'!J8))*Assumptions!E6/365</f>
        <v>874012628.45323789</v>
      </c>
      <c r="K7" s="79">
        <f>(ABS('Income Statement'!K7)+ABS('Income Statement'!K8))*Assumptions!E6/365</f>
        <v>907924318.43722355</v>
      </c>
      <c r="L7" s="79">
        <f>(ABS('Income Statement'!L7)+ABS('Income Statement'!L8))*Assumptions!E6/365</f>
        <v>943151781.9925878</v>
      </c>
      <c r="M7" s="79">
        <f>(ABS('Income Statement'!M7)+ABS('Income Statement'!M8))*Assumptions!E6/365</f>
        <v>201712426.40992054</v>
      </c>
      <c r="N7" s="79">
        <f>(ABS('Income Statement'!N7)+ABS('Income Statement'!N8))*Assumptions!E6/365</f>
        <v>0</v>
      </c>
      <c r="O7" s="79">
        <f>(ABS('Income Statement'!O7)+ABS('Income Statement'!O8))*Assumptions!E6/365</f>
        <v>0</v>
      </c>
      <c r="P7" s="79">
        <f>(ABS('Income Statement'!P7)+ABS('Income Statement'!P8))*Assumptions!E6/365</f>
        <v>0</v>
      </c>
      <c r="Q7" s="79">
        <f>(ABS('Income Statement'!Q7)+ABS('Income Statement'!Q8))*Assumptions!E6/365</f>
        <v>0</v>
      </c>
      <c r="R7" s="79">
        <f>(ABS('Income Statement'!R7)+ABS('Income Statement'!R8))*Assumptions!E6/365</f>
        <v>0</v>
      </c>
      <c r="S7" s="79">
        <f>(ABS('Income Statement'!S7)+ABS('Income Statement'!S8))*Assumptions!E6/365</f>
        <v>0</v>
      </c>
      <c r="T7" s="79">
        <f>(ABS('Income Statement'!T7)+ABS('Income Statement'!T8))*Assumptions!E6/365</f>
        <v>0</v>
      </c>
      <c r="U7" s="79">
        <f>(ABS('Income Statement'!U7)+ABS('Income Statement'!U8))*Assumptions!E6/365</f>
        <v>0</v>
      </c>
      <c r="V7" s="79">
        <f>(ABS('Income Statement'!V7)+ABS('Income Statement'!V8))*Assumptions!E6/365</f>
        <v>0</v>
      </c>
      <c r="W7" s="79">
        <f>(ABS('Income Statement'!W7)+ABS('Income Statement'!W8))*Assumptions!E6/365</f>
        <v>0</v>
      </c>
      <c r="X7" s="17"/>
    </row>
    <row r="8" spans="1:24" ht="15" customHeight="1" x14ac:dyDescent="0.2">
      <c r="A8" s="22" t="s">
        <v>532</v>
      </c>
      <c r="B8" s="4" t="s">
        <v>88</v>
      </c>
      <c r="C8" s="79">
        <f>'Income Statement'!C5*Assumptions!E8/365</f>
        <v>0</v>
      </c>
      <c r="D8" s="79">
        <f>'Income Statement'!D5*Assumptions!E8/365</f>
        <v>52553441.850463457</v>
      </c>
      <c r="E8" s="79">
        <f>'Income Statement'!E5*Assumptions!E8/365</f>
        <v>109220652.46692628</v>
      </c>
      <c r="F8" s="79">
        <f>'Income Statement'!F5*Assumptions!E8/365</f>
        <v>143434021.85219091</v>
      </c>
      <c r="G8" s="79">
        <f>'Income Statement'!G5*Assumptions!E8/365</f>
        <v>150691783.3579118</v>
      </c>
      <c r="H8" s="79">
        <f>'Income Statement'!H5*Assumptions!E8/365</f>
        <v>111753026.53822741</v>
      </c>
      <c r="I8" s="79">
        <f>'Income Statement'!I5*Assumptions!E8/365</f>
        <v>166327617.04817075</v>
      </c>
      <c r="J8" s="79">
        <f>'Income Statement'!J5*Assumptions!E8/365</f>
        <v>174743794.47080818</v>
      </c>
      <c r="K8" s="79">
        <f>'Income Statement'!K5*Assumptions!E8/365</f>
        <v>183585830.47103107</v>
      </c>
      <c r="L8" s="79">
        <f>'Income Statement'!L5*Assumptions!E8/365</f>
        <v>192875273.49286523</v>
      </c>
      <c r="M8" s="79">
        <f>'Income Statement'!M5*Assumptions!E8/365</f>
        <v>41718921.65650674</v>
      </c>
      <c r="N8" s="79">
        <f>'Income Statement'!N5*Assumptions!E8/365</f>
        <v>0</v>
      </c>
      <c r="O8" s="79">
        <f>'Income Statement'!O5*Assumptions!E8/365</f>
        <v>0</v>
      </c>
      <c r="P8" s="79">
        <f>'Income Statement'!P5*Assumptions!E8/365</f>
        <v>0</v>
      </c>
      <c r="Q8" s="79">
        <f>'Income Statement'!Q5*Assumptions!E8/365</f>
        <v>0</v>
      </c>
      <c r="R8" s="79">
        <f>'Income Statement'!R5*Assumptions!E8/365</f>
        <v>0</v>
      </c>
      <c r="S8" s="79">
        <f>'Income Statement'!S5*Assumptions!E8/365</f>
        <v>0</v>
      </c>
      <c r="T8" s="79">
        <f>'Income Statement'!T5*Assumptions!E8/365</f>
        <v>0</v>
      </c>
      <c r="U8" s="79">
        <f>'Income Statement'!U5*Assumptions!E8/365</f>
        <v>0</v>
      </c>
      <c r="V8" s="79">
        <f>'Income Statement'!V5*Assumptions!E8/365</f>
        <v>0</v>
      </c>
      <c r="W8" s="79">
        <f>'Income Statement'!W5*Assumptions!E8/365</f>
        <v>0</v>
      </c>
      <c r="X8" s="17"/>
    </row>
    <row r="9" spans="1:24" ht="15" customHeight="1" x14ac:dyDescent="0.2">
      <c r="A9" s="97" t="s">
        <v>533</v>
      </c>
      <c r="B9" s="70" t="s">
        <v>88</v>
      </c>
      <c r="C9" s="98">
        <f t="shared" ref="C9:W9" si="0">SUM(C5:C8)</f>
        <v>435000000</v>
      </c>
      <c r="D9" s="98">
        <f t="shared" si="0"/>
        <v>811821536.31285381</v>
      </c>
      <c r="E9" s="98">
        <f t="shared" si="0"/>
        <v>1675233344.8171642</v>
      </c>
      <c r="F9" s="98">
        <f t="shared" si="0"/>
        <v>2189908044.4839592</v>
      </c>
      <c r="G9" s="98">
        <f t="shared" si="0"/>
        <v>2291607691.1884952</v>
      </c>
      <c r="H9" s="98">
        <f t="shared" si="0"/>
        <v>1694253905.9125946</v>
      </c>
      <c r="I9" s="98">
        <f t="shared" si="0"/>
        <v>2509643737.3408117</v>
      </c>
      <c r="J9" s="98">
        <f t="shared" si="0"/>
        <v>2626450573.1613197</v>
      </c>
      <c r="K9" s="98">
        <f t="shared" si="0"/>
        <v>2748782623.1475344</v>
      </c>
      <c r="L9" s="98">
        <f t="shared" si="0"/>
        <v>2876904516.9212399</v>
      </c>
      <c r="M9" s="98">
        <f t="shared" si="0"/>
        <v>623901642.97498798</v>
      </c>
      <c r="N9" s="98">
        <f t="shared" si="0"/>
        <v>664136452.31147766</v>
      </c>
      <c r="O9" s="98">
        <f t="shared" si="0"/>
        <v>707305321.71172369</v>
      </c>
      <c r="P9" s="98">
        <f t="shared" si="0"/>
        <v>753280167.62298572</v>
      </c>
      <c r="Q9" s="98">
        <f t="shared" si="0"/>
        <v>802243378.51847982</v>
      </c>
      <c r="R9" s="98">
        <f t="shared" si="0"/>
        <v>854389198.12218106</v>
      </c>
      <c r="S9" s="98">
        <f t="shared" si="0"/>
        <v>909924496.00012279</v>
      </c>
      <c r="T9" s="98">
        <f t="shared" si="0"/>
        <v>969069588.24013078</v>
      </c>
      <c r="U9" s="98">
        <f t="shared" si="0"/>
        <v>1032059111.4757392</v>
      </c>
      <c r="V9" s="98">
        <f t="shared" si="0"/>
        <v>1099142953.7216623</v>
      </c>
      <c r="W9" s="98">
        <f t="shared" si="0"/>
        <v>1170587245.7135704</v>
      </c>
      <c r="X9" s="108"/>
    </row>
    <row r="10" spans="1:24" ht="15" customHeight="1" x14ac:dyDescent="0.2">
      <c r="A10" s="22" t="s">
        <v>534</v>
      </c>
      <c r="B10" s="4" t="s">
        <v>88</v>
      </c>
      <c r="C10" s="79">
        <f>Operations!C24</f>
        <v>0</v>
      </c>
      <c r="D10" s="79">
        <f>C10*(1+Assumptions!$B$68)+Operations!D24</f>
        <v>12000000</v>
      </c>
      <c r="E10" s="79">
        <f>D10*(1+Assumptions!$B$68)+Operations!E24</f>
        <v>24840000</v>
      </c>
      <c r="F10" s="79">
        <f>E10*(1+Assumptions!$B$68)+Operations!F24</f>
        <v>38578800</v>
      </c>
      <c r="G10" s="79">
        <f>F10*(1+Assumptions!$B$68)+Operations!G24</f>
        <v>53279316</v>
      </c>
      <c r="H10" s="79">
        <f>G10*(1+Assumptions!$B$68)+Operations!H24</f>
        <v>69008868.120000005</v>
      </c>
      <c r="I10" s="79">
        <f>H10*(1+Assumptions!$B$68)+Operations!I24</f>
        <v>85839488.888400003</v>
      </c>
      <c r="J10" s="79">
        <f>I10*(1+Assumptions!$B$68)+Operations!J24</f>
        <v>103848253.11058801</v>
      </c>
      <c r="K10" s="79">
        <f>J10*(1+Assumptions!$B$68)+Operations!K24</f>
        <v>123117630.82832918</v>
      </c>
      <c r="L10" s="79">
        <f>K10*(1+Assumptions!$B$68)+Operations!L24</f>
        <v>143735864.98631221</v>
      </c>
      <c r="M10" s="79">
        <f>L10*(1+Assumptions!$B$68)+Operations!M24</f>
        <v>165797375.53535408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79">
        <v>0</v>
      </c>
      <c r="W10" s="79">
        <v>0</v>
      </c>
      <c r="X10" s="17"/>
    </row>
    <row r="11" spans="1:24" ht="15" customHeight="1" x14ac:dyDescent="0.2">
      <c r="A11" s="22" t="s">
        <v>535</v>
      </c>
      <c r="B11" s="4" t="s">
        <v>88</v>
      </c>
      <c r="C11" s="79">
        <f>Exploration!C16</f>
        <v>55000000</v>
      </c>
      <c r="D11" s="79">
        <f>Exploration!D16</f>
        <v>49500000</v>
      </c>
      <c r="E11" s="79">
        <f>Exploration!E16</f>
        <v>44000000</v>
      </c>
      <c r="F11" s="79">
        <f>Exploration!F16</f>
        <v>38500000</v>
      </c>
      <c r="G11" s="79">
        <f>Exploration!G16</f>
        <v>33000000</v>
      </c>
      <c r="H11" s="79">
        <f>Exploration!H16</f>
        <v>27500000</v>
      </c>
      <c r="I11" s="79">
        <f>Exploration!I16</f>
        <v>22000000</v>
      </c>
      <c r="J11" s="79">
        <f>Exploration!J16</f>
        <v>16500000</v>
      </c>
      <c r="K11" s="79">
        <f>Exploration!K16</f>
        <v>11000000</v>
      </c>
      <c r="L11" s="79">
        <f>Exploration!L16</f>
        <v>5500000</v>
      </c>
      <c r="M11" s="79">
        <f>Exploration!M16</f>
        <v>0</v>
      </c>
      <c r="N11" s="79">
        <f>Exploration!N16</f>
        <v>0</v>
      </c>
      <c r="O11" s="79">
        <f>Exploration!O16</f>
        <v>0</v>
      </c>
      <c r="P11" s="79">
        <f>Exploration!P16</f>
        <v>0</v>
      </c>
      <c r="Q11" s="79">
        <f>Exploration!Q16</f>
        <v>0</v>
      </c>
      <c r="R11" s="79">
        <f>Exploration!R16</f>
        <v>0</v>
      </c>
      <c r="S11" s="79">
        <f>Exploration!S16</f>
        <v>0</v>
      </c>
      <c r="T11" s="79">
        <f>Exploration!T16</f>
        <v>0</v>
      </c>
      <c r="U11" s="79">
        <f>Exploration!U16</f>
        <v>0</v>
      </c>
      <c r="V11" s="79">
        <f>Exploration!V16</f>
        <v>0</v>
      </c>
      <c r="W11" s="79">
        <f>Exploration!W16</f>
        <v>0</v>
      </c>
      <c r="X11" s="17"/>
    </row>
    <row r="12" spans="1:24" ht="15" customHeight="1" x14ac:dyDescent="0.2">
      <c r="A12" s="22" t="s">
        <v>524</v>
      </c>
      <c r="B12" s="4" t="s">
        <v>88</v>
      </c>
      <c r="C12" s="79">
        <f>'Fixed Assets'!C40</f>
        <v>865000000</v>
      </c>
      <c r="D12" s="79">
        <f>'Fixed Assets'!D40</f>
        <v>778500000</v>
      </c>
      <c r="E12" s="79">
        <f>'Fixed Assets'!E40</f>
        <v>692000000</v>
      </c>
      <c r="F12" s="79">
        <f>'Fixed Assets'!F40</f>
        <v>614500000</v>
      </c>
      <c r="G12" s="79">
        <f>'Fixed Assets'!G40</f>
        <v>536100000</v>
      </c>
      <c r="H12" s="79">
        <f>'Fixed Assets'!H40</f>
        <v>546800000</v>
      </c>
      <c r="I12" s="79">
        <f>'Fixed Assets'!I40</f>
        <v>457600000</v>
      </c>
      <c r="J12" s="79">
        <f>'Fixed Assets'!J40</f>
        <v>367500000</v>
      </c>
      <c r="K12" s="79">
        <f>'Fixed Assets'!K40</f>
        <v>276500000</v>
      </c>
      <c r="L12" s="79">
        <f>'Fixed Assets'!L40</f>
        <v>184600000</v>
      </c>
      <c r="M12" s="79">
        <f>'Fixed Assets'!M40</f>
        <v>0</v>
      </c>
      <c r="N12" s="79">
        <f>'Fixed Assets'!N40</f>
        <v>0</v>
      </c>
      <c r="O12" s="79">
        <f>'Fixed Assets'!O40</f>
        <v>0</v>
      </c>
      <c r="P12" s="79">
        <f>'Fixed Assets'!P40</f>
        <v>0</v>
      </c>
      <c r="Q12" s="79">
        <f>'Fixed Assets'!Q40</f>
        <v>0</v>
      </c>
      <c r="R12" s="79">
        <f>'Fixed Assets'!R40</f>
        <v>0</v>
      </c>
      <c r="S12" s="79">
        <f>'Fixed Assets'!S40</f>
        <v>0</v>
      </c>
      <c r="T12" s="79">
        <f>'Fixed Assets'!T40</f>
        <v>0</v>
      </c>
      <c r="U12" s="79">
        <f>'Fixed Assets'!U40</f>
        <v>0</v>
      </c>
      <c r="V12" s="79">
        <f>'Fixed Assets'!V40</f>
        <v>0</v>
      </c>
      <c r="W12" s="79">
        <f>'Fixed Assets'!W40</f>
        <v>0</v>
      </c>
      <c r="X12" s="17"/>
    </row>
    <row r="13" spans="1:24" ht="15" customHeight="1" x14ac:dyDescent="0.2">
      <c r="A13" s="97" t="s">
        <v>536</v>
      </c>
      <c r="B13" s="70" t="s">
        <v>88</v>
      </c>
      <c r="C13" s="101">
        <f t="shared" ref="C13:W13" si="1">SUM(C9:C12)</f>
        <v>1355000000</v>
      </c>
      <c r="D13" s="101">
        <f t="shared" si="1"/>
        <v>1651821536.3128538</v>
      </c>
      <c r="E13" s="101">
        <f t="shared" si="1"/>
        <v>2436073344.8171644</v>
      </c>
      <c r="F13" s="101">
        <f t="shared" si="1"/>
        <v>2881486844.4839592</v>
      </c>
      <c r="G13" s="101">
        <f t="shared" si="1"/>
        <v>2913987007.1884952</v>
      </c>
      <c r="H13" s="101">
        <f t="shared" si="1"/>
        <v>2337562774.0325947</v>
      </c>
      <c r="I13" s="101">
        <f t="shared" si="1"/>
        <v>3075083226.2292118</v>
      </c>
      <c r="J13" s="101">
        <f t="shared" si="1"/>
        <v>3114298826.2719078</v>
      </c>
      <c r="K13" s="101">
        <f t="shared" si="1"/>
        <v>3159400253.9758635</v>
      </c>
      <c r="L13" s="101">
        <f t="shared" si="1"/>
        <v>3210740381.9075522</v>
      </c>
      <c r="M13" s="101">
        <f t="shared" si="1"/>
        <v>789699018.51034212</v>
      </c>
      <c r="N13" s="101">
        <f t="shared" si="1"/>
        <v>664136452.31147766</v>
      </c>
      <c r="O13" s="101">
        <f t="shared" si="1"/>
        <v>707305321.71172369</v>
      </c>
      <c r="P13" s="101">
        <f t="shared" si="1"/>
        <v>753280167.62298572</v>
      </c>
      <c r="Q13" s="101">
        <f t="shared" si="1"/>
        <v>802243378.51847982</v>
      </c>
      <c r="R13" s="101">
        <f t="shared" si="1"/>
        <v>854389198.12218106</v>
      </c>
      <c r="S13" s="101">
        <f t="shared" si="1"/>
        <v>909924496.00012279</v>
      </c>
      <c r="T13" s="101">
        <f t="shared" si="1"/>
        <v>969069588.24013078</v>
      </c>
      <c r="U13" s="101">
        <f t="shared" si="1"/>
        <v>1032059111.4757392</v>
      </c>
      <c r="V13" s="101">
        <f t="shared" si="1"/>
        <v>1099142953.7216623</v>
      </c>
      <c r="W13" s="101">
        <f t="shared" si="1"/>
        <v>1170587245.7135704</v>
      </c>
      <c r="X13" s="108"/>
    </row>
    <row r="14" spans="1:24" ht="15" customHeight="1" x14ac:dyDescent="0.2">
      <c r="A14" s="109" t="s">
        <v>537</v>
      </c>
      <c r="B14" s="58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58"/>
    </row>
    <row r="15" spans="1:24" ht="15" customHeight="1" x14ac:dyDescent="0.2">
      <c r="A15" s="22" t="s">
        <v>538</v>
      </c>
      <c r="B15" s="4" t="s">
        <v>88</v>
      </c>
      <c r="C15" s="79">
        <f>(ABS('Income Statement'!C7)+ABS('Income Statement'!C8))*Assumptions!E7/365</f>
        <v>0</v>
      </c>
      <c r="D15" s="79">
        <f>(ABS('Income Statement'!D7)+ABS('Income Statement'!D8))*Assumptions!E7/365</f>
        <v>140643558.9041096</v>
      </c>
      <c r="E15" s="79">
        <f>(ABS('Income Statement'!E7)+ABS('Income Statement'!E8))*Assumptions!E7/365</f>
        <v>289013410.07395071</v>
      </c>
      <c r="F15" s="79">
        <f>(ABS('Income Statement'!F7)+ABS('Income Statement'!F8))*Assumptions!E7/365</f>
        <v>375283912.98102498</v>
      </c>
      <c r="G15" s="79">
        <f>(ABS('Income Statement'!G7)+ABS('Income Statement'!G8))*Assumptions!E7/365</f>
        <v>389844928.80468869</v>
      </c>
      <c r="H15" s="79">
        <f>(ABS('Income Statement'!H7)+ABS('Income Statement'!H8))*Assumptions!E7/365</f>
        <v>285861820.26516044</v>
      </c>
      <c r="I15" s="79">
        <f>(ABS('Income Statement'!I7)+ABS('Income Statement'!I8))*Assumptions!E7/365</f>
        <v>420683783.4295522</v>
      </c>
      <c r="J15" s="79">
        <f>(ABS('Income Statement'!J7)+ABS('Income Statement'!J8))*Assumptions!E7/365</f>
        <v>437006314.22661895</v>
      </c>
      <c r="K15" s="79">
        <f>(ABS('Income Statement'!K7)+ABS('Income Statement'!K8))*Assumptions!E7/365</f>
        <v>453962159.21861178</v>
      </c>
      <c r="L15" s="79">
        <f>(ABS('Income Statement'!L7)+ABS('Income Statement'!L8))*Assumptions!E7/365</f>
        <v>471575890.9962939</v>
      </c>
      <c r="M15" s="79">
        <f>(ABS('Income Statement'!M7)+ABS('Income Statement'!M8))*Assumptions!E7/365</f>
        <v>100856213.20496027</v>
      </c>
      <c r="N15" s="79">
        <f>(ABS('Income Statement'!N7)+ABS('Income Statement'!N8))*Assumptions!E7/365</f>
        <v>0</v>
      </c>
      <c r="O15" s="79">
        <f>(ABS('Income Statement'!O7)+ABS('Income Statement'!O8))*Assumptions!E7/365</f>
        <v>0</v>
      </c>
      <c r="P15" s="79">
        <f>(ABS('Income Statement'!P7)+ABS('Income Statement'!P8))*Assumptions!E7/365</f>
        <v>0</v>
      </c>
      <c r="Q15" s="79">
        <f>(ABS('Income Statement'!Q7)+ABS('Income Statement'!Q8))*Assumptions!E7/365</f>
        <v>0</v>
      </c>
      <c r="R15" s="79">
        <f>(ABS('Income Statement'!R7)+ABS('Income Statement'!R8))*Assumptions!E7/365</f>
        <v>0</v>
      </c>
      <c r="S15" s="79">
        <f>(ABS('Income Statement'!S7)+ABS('Income Statement'!S8))*Assumptions!E7/365</f>
        <v>0</v>
      </c>
      <c r="T15" s="79">
        <f>(ABS('Income Statement'!T7)+ABS('Income Statement'!T8))*Assumptions!E7/365</f>
        <v>0</v>
      </c>
      <c r="U15" s="79">
        <f>(ABS('Income Statement'!U7)+ABS('Income Statement'!U8))*Assumptions!E7/365</f>
        <v>0</v>
      </c>
      <c r="V15" s="79">
        <f>(ABS('Income Statement'!V7)+ABS('Income Statement'!V8))*Assumptions!E7/365</f>
        <v>0</v>
      </c>
      <c r="W15" s="79">
        <f>(ABS('Income Statement'!W7)+ABS('Income Statement'!W8))*Assumptions!E7/365</f>
        <v>0</v>
      </c>
      <c r="X15" s="17"/>
    </row>
    <row r="16" spans="1:24" ht="15" customHeight="1" x14ac:dyDescent="0.2">
      <c r="A16" s="22" t="s">
        <v>539</v>
      </c>
      <c r="B16" s="4" t="s">
        <v>88</v>
      </c>
      <c r="C16" s="79">
        <f>'Income Statement'!C5*Assumptions!E9/365</f>
        <v>0</v>
      </c>
      <c r="D16" s="79">
        <f>'Income Statement'!D5*Assumptions!E9/365</f>
        <v>31532065.110278081</v>
      </c>
      <c r="E16" s="79">
        <f>'Income Statement'!E5*Assumptions!E9/365</f>
        <v>65532391.480155766</v>
      </c>
      <c r="F16" s="79">
        <f>'Income Statement'!F5*Assumptions!E9/365</f>
        <v>86060413.111314535</v>
      </c>
      <c r="G16" s="79">
        <f>'Income Statement'!G5*Assumptions!E9/365</f>
        <v>90415070.014747068</v>
      </c>
      <c r="H16" s="79">
        <f>'Income Statement'!H5*Assumptions!E9/365</f>
        <v>67051815.92293644</v>
      </c>
      <c r="I16" s="79">
        <f>'Income Statement'!I5*Assumptions!E9/365</f>
        <v>99796570.228902444</v>
      </c>
      <c r="J16" s="79">
        <f>'Income Statement'!J5*Assumptions!E9/365</f>
        <v>104846276.68248491</v>
      </c>
      <c r="K16" s="79">
        <f>'Income Statement'!K5*Assumptions!E9/365</f>
        <v>110151498.28261863</v>
      </c>
      <c r="L16" s="79">
        <f>'Income Statement'!L5*Assumptions!E9/365</f>
        <v>115725164.09571913</v>
      </c>
      <c r="M16" s="79">
        <f>'Income Statement'!M5*Assumptions!E9/365</f>
        <v>25031352.993904047</v>
      </c>
      <c r="N16" s="79">
        <f>'Income Statement'!N5*Assumptions!E9/365</f>
        <v>0</v>
      </c>
      <c r="O16" s="79">
        <f>'Income Statement'!O5*Assumptions!E9/365</f>
        <v>0</v>
      </c>
      <c r="P16" s="79">
        <f>'Income Statement'!P5*Assumptions!E9/365</f>
        <v>0</v>
      </c>
      <c r="Q16" s="79">
        <f>'Income Statement'!Q5*Assumptions!E9/365</f>
        <v>0</v>
      </c>
      <c r="R16" s="79">
        <f>'Income Statement'!R5*Assumptions!E9/365</f>
        <v>0</v>
      </c>
      <c r="S16" s="79">
        <f>'Income Statement'!S5*Assumptions!E9/365</f>
        <v>0</v>
      </c>
      <c r="T16" s="79">
        <f>'Income Statement'!T5*Assumptions!E9/365</f>
        <v>0</v>
      </c>
      <c r="U16" s="79">
        <f>'Income Statement'!U5*Assumptions!E9/365</f>
        <v>0</v>
      </c>
      <c r="V16" s="79">
        <f>'Income Statement'!V5*Assumptions!E9/365</f>
        <v>0</v>
      </c>
      <c r="W16" s="79">
        <f>'Income Statement'!W5*Assumptions!E9/365</f>
        <v>0</v>
      </c>
      <c r="X16" s="17"/>
    </row>
    <row r="17" spans="1:24" ht="15" customHeight="1" x14ac:dyDescent="0.2">
      <c r="A17" s="22" t="s">
        <v>540</v>
      </c>
      <c r="B17" s="4" t="s">
        <v>88</v>
      </c>
      <c r="C17" s="79">
        <f>-'Debt Schedule'!D20</f>
        <v>0</v>
      </c>
      <c r="D17" s="79">
        <f>-'Debt Schedule'!E20</f>
        <v>48392857.142857142</v>
      </c>
      <c r="E17" s="79">
        <f>-'Debt Schedule'!F20</f>
        <v>48392857.142857142</v>
      </c>
      <c r="F17" s="79">
        <f>-'Debt Schedule'!G20</f>
        <v>48392857.142857142</v>
      </c>
      <c r="G17" s="79">
        <f>-'Debt Schedule'!H20</f>
        <v>251642857.14285713</v>
      </c>
      <c r="H17" s="79">
        <f>-'Debt Schedule'!I20</f>
        <v>48392857.142857142</v>
      </c>
      <c r="I17" s="79">
        <f>-'Debt Schedule'!J20</f>
        <v>48392857.142857142</v>
      </c>
      <c r="J17" s="79">
        <f>-'Debt Schedule'!K20</f>
        <v>48392857.142857142</v>
      </c>
      <c r="K17" s="79">
        <f>-'Debt Schedule'!L20</f>
        <v>0</v>
      </c>
      <c r="L17" s="79">
        <f>-'Debt Schedule'!M20</f>
        <v>0</v>
      </c>
      <c r="M17" s="79">
        <f>-'Debt Schedule'!N20</f>
        <v>0</v>
      </c>
      <c r="N17" s="79">
        <f>-'Debt Schedule'!O20</f>
        <v>0</v>
      </c>
      <c r="O17" s="79">
        <f>-'Debt Schedule'!P20</f>
        <v>0</v>
      </c>
      <c r="P17" s="79">
        <f>-'Debt Schedule'!Q20</f>
        <v>0</v>
      </c>
      <c r="Q17" s="79">
        <f>-'Debt Schedule'!R20</f>
        <v>0</v>
      </c>
      <c r="R17" s="79">
        <f>-'Debt Schedule'!S20</f>
        <v>0</v>
      </c>
      <c r="S17" s="79">
        <f>-'Debt Schedule'!T20</f>
        <v>0</v>
      </c>
      <c r="T17" s="79">
        <f>-'Debt Schedule'!U20</f>
        <v>0</v>
      </c>
      <c r="U17" s="79">
        <f>-'Debt Schedule'!V20</f>
        <v>0</v>
      </c>
      <c r="V17" s="79">
        <f>-'Debt Schedule'!W20</f>
        <v>0</v>
      </c>
      <c r="W17" s="79">
        <v>0</v>
      </c>
      <c r="X17" s="17"/>
    </row>
    <row r="18" spans="1:24" ht="15" customHeight="1" x14ac:dyDescent="0.2">
      <c r="A18" s="97" t="s">
        <v>541</v>
      </c>
      <c r="B18" s="70" t="s">
        <v>88</v>
      </c>
      <c r="C18" s="101">
        <f t="shared" ref="C18:W18" si="2">SUM(C15:C17)</f>
        <v>0</v>
      </c>
      <c r="D18" s="101">
        <f t="shared" si="2"/>
        <v>220568481.1572448</v>
      </c>
      <c r="E18" s="101">
        <f t="shared" si="2"/>
        <v>402938658.69696361</v>
      </c>
      <c r="F18" s="101">
        <f t="shared" si="2"/>
        <v>509737183.23519665</v>
      </c>
      <c r="G18" s="101">
        <f t="shared" si="2"/>
        <v>731902855.96229291</v>
      </c>
      <c r="H18" s="101">
        <f t="shared" si="2"/>
        <v>401306493.33095402</v>
      </c>
      <c r="I18" s="101">
        <f t="shared" si="2"/>
        <v>568873210.80131185</v>
      </c>
      <c r="J18" s="101">
        <f t="shared" si="2"/>
        <v>590245448.05196106</v>
      </c>
      <c r="K18" s="101">
        <f t="shared" si="2"/>
        <v>564113657.50123036</v>
      </c>
      <c r="L18" s="101">
        <f t="shared" si="2"/>
        <v>587301055.092013</v>
      </c>
      <c r="M18" s="101">
        <f t="shared" si="2"/>
        <v>125887566.19886431</v>
      </c>
      <c r="N18" s="101">
        <f t="shared" si="2"/>
        <v>0</v>
      </c>
      <c r="O18" s="101">
        <f t="shared" si="2"/>
        <v>0</v>
      </c>
      <c r="P18" s="101">
        <f t="shared" si="2"/>
        <v>0</v>
      </c>
      <c r="Q18" s="101">
        <f t="shared" si="2"/>
        <v>0</v>
      </c>
      <c r="R18" s="101">
        <f t="shared" si="2"/>
        <v>0</v>
      </c>
      <c r="S18" s="101">
        <f t="shared" si="2"/>
        <v>0</v>
      </c>
      <c r="T18" s="101">
        <f t="shared" si="2"/>
        <v>0</v>
      </c>
      <c r="U18" s="101">
        <f t="shared" si="2"/>
        <v>0</v>
      </c>
      <c r="V18" s="101">
        <f t="shared" si="2"/>
        <v>0</v>
      </c>
      <c r="W18" s="101">
        <f t="shared" si="2"/>
        <v>0</v>
      </c>
      <c r="X18" s="108"/>
    </row>
    <row r="19" spans="1:24" ht="15" customHeight="1" x14ac:dyDescent="0.2">
      <c r="A19" s="22" t="s">
        <v>542</v>
      </c>
      <c r="B19" s="4" t="s">
        <v>88</v>
      </c>
      <c r="C19" s="79">
        <f>'Debt Schedule'!C25-C17</f>
        <v>542000000</v>
      </c>
      <c r="D19" s="79">
        <f>'Debt Schedule'!D25-D17</f>
        <v>493607142.85714287</v>
      </c>
      <c r="E19" s="79">
        <f>'Debt Schedule'!E25-E17</f>
        <v>445214285.71428573</v>
      </c>
      <c r="F19" s="79">
        <f>'Debt Schedule'!F25-F17</f>
        <v>396821428.5714286</v>
      </c>
      <c r="G19" s="79">
        <f>'Debt Schedule'!G25-G17</f>
        <v>145178571.42857146</v>
      </c>
      <c r="H19" s="79">
        <f>'Debt Schedule'!H25-H17</f>
        <v>96785714.285714328</v>
      </c>
      <c r="I19" s="79">
        <f>'Debt Schedule'!I25-I17</f>
        <v>48392857.142857186</v>
      </c>
      <c r="J19" s="79">
        <f>'Debt Schedule'!J25-J17</f>
        <v>0</v>
      </c>
      <c r="K19" s="79">
        <f>'Debt Schedule'!K25-K17</f>
        <v>4.4703483581542969E-8</v>
      </c>
      <c r="L19" s="79">
        <f>'Debt Schedule'!L25-L17</f>
        <v>4.4703483581542969E-8</v>
      </c>
      <c r="M19" s="79">
        <f>'Debt Schedule'!M25-M17</f>
        <v>4.4703483581542969E-8</v>
      </c>
      <c r="N19" s="79">
        <f>'Debt Schedule'!N25-N17</f>
        <v>4.4703483581542969E-8</v>
      </c>
      <c r="O19" s="79">
        <f>'Debt Schedule'!O25-O17</f>
        <v>4.4703483581542969E-8</v>
      </c>
      <c r="P19" s="79">
        <f>'Debt Schedule'!P25-P17</f>
        <v>4.4703483581542969E-8</v>
      </c>
      <c r="Q19" s="79">
        <f>'Debt Schedule'!Q25-Q17</f>
        <v>4.4703483581542969E-8</v>
      </c>
      <c r="R19" s="79">
        <f>'Debt Schedule'!R25-R17</f>
        <v>4.4703483581542969E-8</v>
      </c>
      <c r="S19" s="79">
        <f>'Debt Schedule'!S25-S17</f>
        <v>4.4703483581542969E-8</v>
      </c>
      <c r="T19" s="79">
        <f>'Debt Schedule'!T25-T17</f>
        <v>4.4703483581542969E-8</v>
      </c>
      <c r="U19" s="79">
        <f>'Debt Schedule'!U25-U17</f>
        <v>4.4703483581542969E-8</v>
      </c>
      <c r="V19" s="79">
        <f>'Debt Schedule'!V25-V17</f>
        <v>4.4703483581542969E-8</v>
      </c>
      <c r="W19" s="79">
        <f>'Debt Schedule'!W25-W17</f>
        <v>4.4703483581542969E-8</v>
      </c>
      <c r="X19" s="17"/>
    </row>
    <row r="20" spans="1:24" ht="15" customHeight="1" x14ac:dyDescent="0.2">
      <c r="A20" s="22" t="s">
        <v>543</v>
      </c>
      <c r="B20" s="4" t="s">
        <v>88</v>
      </c>
      <c r="C20" s="79">
        <f>'SA Tax Computation'!C36</f>
        <v>248400000.00000003</v>
      </c>
      <c r="D20" s="79">
        <f>'SA Tax Computation'!D36</f>
        <v>223560000</v>
      </c>
      <c r="E20" s="79">
        <f>'SA Tax Computation'!E36</f>
        <v>198720000</v>
      </c>
      <c r="F20" s="79">
        <f>'SA Tax Computation'!F36</f>
        <v>176310000</v>
      </c>
      <c r="G20" s="79">
        <f>'SA Tax Computation'!G36</f>
        <v>153657000</v>
      </c>
      <c r="H20" s="79">
        <f>'SA Tax Computation'!H36</f>
        <v>155061000</v>
      </c>
      <c r="I20" s="79">
        <f>'SA Tax Computation'!I36</f>
        <v>129492000.00000001</v>
      </c>
      <c r="J20" s="79">
        <f>'SA Tax Computation'!J36</f>
        <v>103680000</v>
      </c>
      <c r="K20" s="79">
        <f>'SA Tax Computation'!K36</f>
        <v>77625000</v>
      </c>
      <c r="L20" s="79">
        <f>'SA Tax Computation'!L36</f>
        <v>51327000</v>
      </c>
      <c r="M20" s="79">
        <f>'SA Tax Computation'!M36</f>
        <v>24786000</v>
      </c>
      <c r="N20" s="79">
        <f>'SA Tax Computation'!N36</f>
        <v>24786000</v>
      </c>
      <c r="O20" s="79">
        <f>'SA Tax Computation'!O36</f>
        <v>24786000</v>
      </c>
      <c r="P20" s="79">
        <f>'SA Tax Computation'!P36</f>
        <v>24786000</v>
      </c>
      <c r="Q20" s="79">
        <f>'SA Tax Computation'!Q36</f>
        <v>24786000</v>
      </c>
      <c r="R20" s="79">
        <f>'SA Tax Computation'!R36</f>
        <v>24786000</v>
      </c>
      <c r="S20" s="79">
        <f>'SA Tax Computation'!S36</f>
        <v>24786000</v>
      </c>
      <c r="T20" s="79">
        <f>'SA Tax Computation'!T36</f>
        <v>24786000</v>
      </c>
      <c r="U20" s="79">
        <f>'SA Tax Computation'!U36</f>
        <v>24786000</v>
      </c>
      <c r="V20" s="79">
        <f>'SA Tax Computation'!V36</f>
        <v>24786000</v>
      </c>
      <c r="W20" s="79">
        <f>'SA Tax Computation'!W36</f>
        <v>24786000</v>
      </c>
      <c r="X20" s="17"/>
    </row>
    <row r="21" spans="1:24" ht="15" customHeight="1" x14ac:dyDescent="0.2">
      <c r="A21" s="97" t="s">
        <v>544</v>
      </c>
      <c r="B21" s="70" t="s">
        <v>88</v>
      </c>
      <c r="C21" s="98">
        <f t="shared" ref="C21:W21" si="3">C18+C19+C20</f>
        <v>790400000</v>
      </c>
      <c r="D21" s="98">
        <f t="shared" si="3"/>
        <v>937735624.01438761</v>
      </c>
      <c r="E21" s="98">
        <f t="shared" si="3"/>
        <v>1046872944.4112494</v>
      </c>
      <c r="F21" s="98">
        <f t="shared" si="3"/>
        <v>1082868611.8066254</v>
      </c>
      <c r="G21" s="98">
        <f t="shared" si="3"/>
        <v>1030738427.3908644</v>
      </c>
      <c r="H21" s="98">
        <f t="shared" si="3"/>
        <v>653153207.61666834</v>
      </c>
      <c r="I21" s="98">
        <f t="shared" si="3"/>
        <v>746758067.94416904</v>
      </c>
      <c r="J21" s="98">
        <f t="shared" si="3"/>
        <v>693925448.05196106</v>
      </c>
      <c r="K21" s="98">
        <f t="shared" si="3"/>
        <v>641738657.50123036</v>
      </c>
      <c r="L21" s="98">
        <f t="shared" si="3"/>
        <v>638628055.092013</v>
      </c>
      <c r="M21" s="98">
        <f t="shared" si="3"/>
        <v>150673566.19886434</v>
      </c>
      <c r="N21" s="98">
        <f t="shared" si="3"/>
        <v>24786000.000000045</v>
      </c>
      <c r="O21" s="98">
        <f t="shared" si="3"/>
        <v>24786000.000000045</v>
      </c>
      <c r="P21" s="98">
        <f t="shared" si="3"/>
        <v>24786000.000000045</v>
      </c>
      <c r="Q21" s="98">
        <f t="shared" si="3"/>
        <v>24786000.000000045</v>
      </c>
      <c r="R21" s="98">
        <f t="shared" si="3"/>
        <v>24786000.000000045</v>
      </c>
      <c r="S21" s="98">
        <f t="shared" si="3"/>
        <v>24786000.000000045</v>
      </c>
      <c r="T21" s="98">
        <f t="shared" si="3"/>
        <v>24786000.000000045</v>
      </c>
      <c r="U21" s="98">
        <f t="shared" si="3"/>
        <v>24786000.000000045</v>
      </c>
      <c r="V21" s="98">
        <f t="shared" si="3"/>
        <v>24786000.000000045</v>
      </c>
      <c r="W21" s="98">
        <f t="shared" si="3"/>
        <v>24786000.000000045</v>
      </c>
      <c r="X21" s="108"/>
    </row>
    <row r="22" spans="1:24" ht="15" customHeight="1" x14ac:dyDescent="0.2">
      <c r="A22" s="22" t="s">
        <v>545</v>
      </c>
      <c r="B22" s="4" t="s">
        <v>88</v>
      </c>
      <c r="C22" s="79">
        <f>Assumptions!F21</f>
        <v>813000000</v>
      </c>
      <c r="D22" s="63">
        <f t="shared" ref="D22:W22" si="4">C22</f>
        <v>813000000</v>
      </c>
      <c r="E22" s="63">
        <f t="shared" si="4"/>
        <v>813000000</v>
      </c>
      <c r="F22" s="63">
        <f t="shared" si="4"/>
        <v>813000000</v>
      </c>
      <c r="G22" s="63">
        <f t="shared" si="4"/>
        <v>813000000</v>
      </c>
      <c r="H22" s="63">
        <f t="shared" si="4"/>
        <v>813000000</v>
      </c>
      <c r="I22" s="63">
        <f t="shared" si="4"/>
        <v>813000000</v>
      </c>
      <c r="J22" s="63">
        <f t="shared" si="4"/>
        <v>813000000</v>
      </c>
      <c r="K22" s="63">
        <f t="shared" si="4"/>
        <v>813000000</v>
      </c>
      <c r="L22" s="63">
        <f t="shared" si="4"/>
        <v>813000000</v>
      </c>
      <c r="M22" s="63">
        <f t="shared" si="4"/>
        <v>813000000</v>
      </c>
      <c r="N22" s="63">
        <f t="shared" si="4"/>
        <v>813000000</v>
      </c>
      <c r="O22" s="63">
        <f t="shared" si="4"/>
        <v>813000000</v>
      </c>
      <c r="P22" s="63">
        <f t="shared" si="4"/>
        <v>813000000</v>
      </c>
      <c r="Q22" s="63">
        <f t="shared" si="4"/>
        <v>813000000</v>
      </c>
      <c r="R22" s="63">
        <f t="shared" si="4"/>
        <v>813000000</v>
      </c>
      <c r="S22" s="63">
        <f t="shared" si="4"/>
        <v>813000000</v>
      </c>
      <c r="T22" s="63">
        <f t="shared" si="4"/>
        <v>813000000</v>
      </c>
      <c r="U22" s="63">
        <f t="shared" si="4"/>
        <v>813000000</v>
      </c>
      <c r="V22" s="63">
        <f t="shared" si="4"/>
        <v>813000000</v>
      </c>
      <c r="W22" s="63">
        <f t="shared" si="4"/>
        <v>813000000</v>
      </c>
      <c r="X22" s="17"/>
    </row>
    <row r="23" spans="1:24" ht="15" customHeight="1" x14ac:dyDescent="0.2">
      <c r="A23" s="22" t="s">
        <v>546</v>
      </c>
      <c r="B23" s="4" t="s">
        <v>88</v>
      </c>
      <c r="C23" s="79">
        <f>'Income Statement'!C35</f>
        <v>-248400000.00000003</v>
      </c>
      <c r="D23" s="79">
        <f>'Income Statement'!D35</f>
        <v>-98914087.701533794</v>
      </c>
      <c r="E23" s="79">
        <f>'Income Statement'!E35</f>
        <v>576200400.40591478</v>
      </c>
      <c r="F23" s="79">
        <f>'Income Statement'!F35</f>
        <v>985618232.67733383</v>
      </c>
      <c r="G23" s="79">
        <f>'Income Statement'!G35</f>
        <v>1070248579.7976303</v>
      </c>
      <c r="H23" s="79">
        <f>'Income Statement'!H35</f>
        <v>871409566.4159255</v>
      </c>
      <c r="I23" s="79">
        <f>'Income Statement'!I35</f>
        <v>1515325158.2850428</v>
      </c>
      <c r="J23" s="79">
        <f>'Income Statement'!J35</f>
        <v>1607373378.2199459</v>
      </c>
      <c r="K23" s="79">
        <f>'Income Statement'!K35</f>
        <v>1704661596.4746313</v>
      </c>
      <c r="L23" s="79">
        <f>'Income Statement'!L35</f>
        <v>1759112326.8155375</v>
      </c>
      <c r="M23" s="79">
        <f>'Income Statement'!M35</f>
        <v>-173974547.68852425</v>
      </c>
      <c r="N23" s="79">
        <f>'Income Statement'!N35</f>
        <v>-173649547.68852425</v>
      </c>
      <c r="O23" s="79">
        <f>'Income Statement'!O35</f>
        <v>-130480678.28827821</v>
      </c>
      <c r="P23" s="79">
        <f>'Income Statement'!P35</f>
        <v>-84505832.377016172</v>
      </c>
      <c r="Q23" s="79">
        <f>'Income Statement'!Q35</f>
        <v>-35542621.481522106</v>
      </c>
      <c r="R23" s="79">
        <f>'Income Statement'!R35</f>
        <v>16603198.122179076</v>
      </c>
      <c r="S23" s="79">
        <f>'Income Statement'!S35</f>
        <v>72138496.000120848</v>
      </c>
      <c r="T23" s="79">
        <f>'Income Statement'!T35</f>
        <v>131283588.24012882</v>
      </c>
      <c r="U23" s="79">
        <f>'Income Statement'!U35</f>
        <v>194273111.4757373</v>
      </c>
      <c r="V23" s="79">
        <f>'Income Statement'!V35</f>
        <v>261356953.72166035</v>
      </c>
      <c r="W23" s="79">
        <f>'Income Statement'!W35</f>
        <v>332801245.71356839</v>
      </c>
      <c r="X23" s="17"/>
    </row>
    <row r="24" spans="1:24" ht="15" customHeight="1" x14ac:dyDescent="0.2">
      <c r="A24" s="97" t="s">
        <v>547</v>
      </c>
      <c r="B24" s="70" t="s">
        <v>88</v>
      </c>
      <c r="C24" s="101">
        <f t="shared" ref="C24:W24" si="5">C22+C23</f>
        <v>564600000</v>
      </c>
      <c r="D24" s="101">
        <f t="shared" si="5"/>
        <v>714085912.29846621</v>
      </c>
      <c r="E24" s="101">
        <f t="shared" si="5"/>
        <v>1389200400.4059148</v>
      </c>
      <c r="F24" s="101">
        <f t="shared" si="5"/>
        <v>1798618232.6773338</v>
      </c>
      <c r="G24" s="101">
        <f t="shared" si="5"/>
        <v>1883248579.7976303</v>
      </c>
      <c r="H24" s="101">
        <f t="shared" si="5"/>
        <v>1684409566.4159255</v>
      </c>
      <c r="I24" s="101">
        <f t="shared" si="5"/>
        <v>2328325158.2850428</v>
      </c>
      <c r="J24" s="101">
        <f t="shared" si="5"/>
        <v>2420373378.2199459</v>
      </c>
      <c r="K24" s="101">
        <f t="shared" si="5"/>
        <v>2517661596.4746313</v>
      </c>
      <c r="L24" s="101">
        <f t="shared" si="5"/>
        <v>2572112326.8155375</v>
      </c>
      <c r="M24" s="101">
        <f t="shared" si="5"/>
        <v>639025452.31147575</v>
      </c>
      <c r="N24" s="101">
        <f t="shared" si="5"/>
        <v>639350452.31147575</v>
      </c>
      <c r="O24" s="101">
        <f t="shared" si="5"/>
        <v>682519321.71172178</v>
      </c>
      <c r="P24" s="101">
        <f t="shared" si="5"/>
        <v>728494167.62298381</v>
      </c>
      <c r="Q24" s="101">
        <f t="shared" si="5"/>
        <v>777457378.51847792</v>
      </c>
      <c r="R24" s="101">
        <f t="shared" si="5"/>
        <v>829603198.12217903</v>
      </c>
      <c r="S24" s="101">
        <f t="shared" si="5"/>
        <v>885138496.00012088</v>
      </c>
      <c r="T24" s="101">
        <f t="shared" si="5"/>
        <v>944283588.24012876</v>
      </c>
      <c r="U24" s="101">
        <f t="shared" si="5"/>
        <v>1007273111.4757373</v>
      </c>
      <c r="V24" s="101">
        <f t="shared" si="5"/>
        <v>1074356953.7216604</v>
      </c>
      <c r="W24" s="101">
        <f t="shared" si="5"/>
        <v>1145801245.7135684</v>
      </c>
      <c r="X24" s="108"/>
    </row>
    <row r="25" spans="1:24" ht="15" customHeight="1" x14ac:dyDescent="0.2">
      <c r="A25" s="97" t="s">
        <v>548</v>
      </c>
      <c r="B25" s="70" t="s">
        <v>88</v>
      </c>
      <c r="C25" s="101">
        <f t="shared" ref="C25:W25" si="6">C21+C24</f>
        <v>1355000000</v>
      </c>
      <c r="D25" s="101">
        <f t="shared" si="6"/>
        <v>1651821536.3128538</v>
      </c>
      <c r="E25" s="101">
        <f t="shared" si="6"/>
        <v>2436073344.8171644</v>
      </c>
      <c r="F25" s="101">
        <f t="shared" si="6"/>
        <v>2881486844.4839592</v>
      </c>
      <c r="G25" s="101">
        <f t="shared" si="6"/>
        <v>2913987007.1884947</v>
      </c>
      <c r="H25" s="101">
        <f t="shared" si="6"/>
        <v>2337562774.0325937</v>
      </c>
      <c r="I25" s="101">
        <f t="shared" si="6"/>
        <v>3075083226.2292118</v>
      </c>
      <c r="J25" s="101">
        <f t="shared" si="6"/>
        <v>3114298826.2719069</v>
      </c>
      <c r="K25" s="101">
        <f t="shared" si="6"/>
        <v>3159400253.9758615</v>
      </c>
      <c r="L25" s="101">
        <f t="shared" si="6"/>
        <v>3210740381.9075503</v>
      </c>
      <c r="M25" s="101">
        <f t="shared" si="6"/>
        <v>789699018.51034009</v>
      </c>
      <c r="N25" s="101">
        <f t="shared" si="6"/>
        <v>664136452.31147575</v>
      </c>
      <c r="O25" s="101">
        <f t="shared" si="6"/>
        <v>707305321.71172178</v>
      </c>
      <c r="P25" s="101">
        <f t="shared" si="6"/>
        <v>753280167.62298381</v>
      </c>
      <c r="Q25" s="101">
        <f t="shared" si="6"/>
        <v>802243378.51847792</v>
      </c>
      <c r="R25" s="101">
        <f t="shared" si="6"/>
        <v>854389198.12217903</v>
      </c>
      <c r="S25" s="101">
        <f t="shared" si="6"/>
        <v>909924496.00012088</v>
      </c>
      <c r="T25" s="101">
        <f t="shared" si="6"/>
        <v>969069588.24012876</v>
      </c>
      <c r="U25" s="101">
        <f t="shared" si="6"/>
        <v>1032059111.4757373</v>
      </c>
      <c r="V25" s="101">
        <f t="shared" si="6"/>
        <v>1099142953.7216604</v>
      </c>
      <c r="W25" s="101">
        <f t="shared" si="6"/>
        <v>1170587245.7135684</v>
      </c>
      <c r="X25" s="108"/>
    </row>
    <row r="26" spans="1:24" ht="15" customHeight="1" x14ac:dyDescent="0.2">
      <c r="A26" s="17"/>
      <c r="B26" s="17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17"/>
    </row>
    <row r="27" spans="1:24" ht="15" customHeight="1" x14ac:dyDescent="0.2">
      <c r="A27" s="22" t="s">
        <v>549</v>
      </c>
      <c r="B27" s="4"/>
      <c r="C27" s="63">
        <f t="shared" ref="C27:W27" si="7">ROUND(C13-C25,0)</f>
        <v>0</v>
      </c>
      <c r="D27" s="63">
        <f t="shared" si="7"/>
        <v>0</v>
      </c>
      <c r="E27" s="63">
        <f t="shared" si="7"/>
        <v>0</v>
      </c>
      <c r="F27" s="63">
        <f t="shared" si="7"/>
        <v>0</v>
      </c>
      <c r="G27" s="63">
        <f t="shared" si="7"/>
        <v>0</v>
      </c>
      <c r="H27" s="63">
        <f t="shared" si="7"/>
        <v>0</v>
      </c>
      <c r="I27" s="63">
        <f t="shared" si="7"/>
        <v>0</v>
      </c>
      <c r="J27" s="63">
        <f t="shared" si="7"/>
        <v>0</v>
      </c>
      <c r="K27" s="63">
        <f t="shared" si="7"/>
        <v>0</v>
      </c>
      <c r="L27" s="63">
        <f t="shared" si="7"/>
        <v>0</v>
      </c>
      <c r="M27" s="63">
        <f t="shared" si="7"/>
        <v>0</v>
      </c>
      <c r="N27" s="63">
        <f t="shared" si="7"/>
        <v>0</v>
      </c>
      <c r="O27" s="63">
        <f t="shared" si="7"/>
        <v>0</v>
      </c>
      <c r="P27" s="63">
        <f t="shared" si="7"/>
        <v>0</v>
      </c>
      <c r="Q27" s="63">
        <f t="shared" si="7"/>
        <v>0</v>
      </c>
      <c r="R27" s="63">
        <f t="shared" si="7"/>
        <v>0</v>
      </c>
      <c r="S27" s="63">
        <f t="shared" si="7"/>
        <v>0</v>
      </c>
      <c r="T27" s="63">
        <f t="shared" si="7"/>
        <v>0</v>
      </c>
      <c r="U27" s="63">
        <f t="shared" si="7"/>
        <v>0</v>
      </c>
      <c r="V27" s="63">
        <f t="shared" si="7"/>
        <v>0</v>
      </c>
      <c r="W27" s="63">
        <f t="shared" si="7"/>
        <v>0</v>
      </c>
      <c r="X27" s="17"/>
    </row>
    <row r="28" spans="1:24" ht="15" customHeight="1" x14ac:dyDescent="0.2">
      <c r="A28" s="17"/>
      <c r="B28" s="17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17"/>
    </row>
    <row r="29" spans="1:24" ht="15" customHeight="1" x14ac:dyDescent="0.2">
      <c r="A29" s="17"/>
      <c r="B29" s="17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17"/>
    </row>
  </sheetData>
  <conditionalFormatting sqref="C27:W27">
    <cfRule type="cellIs" dxfId="5" priority="2" operator="notEqual">
      <formula>0</formula>
    </cfRule>
    <cfRule type="cellIs" dxfId="4" priority="3" operator="equal">
      <formula>0</formula>
    </cfRule>
  </conditionalFormatting>
  <pageMargins left="0.75" right="0.75" top="1" bottom="1" header="0.511811023622047" footer="0.511811023622047"/>
  <pageSetup paperSize="8" fitToHeight="0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X37"/>
  <sheetViews>
    <sheetView zoomScaleNormal="100" workbookViewId="0">
      <pane xSplit="2" ySplit="3" topLeftCell="G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27</v>
      </c>
    </row>
    <row r="3" spans="1:24" ht="15" customHeight="1" x14ac:dyDescent="0.2">
      <c r="A3" s="72"/>
      <c r="B3" s="72"/>
      <c r="C3" s="72" t="s">
        <v>304</v>
      </c>
      <c r="D3" s="72" t="s">
        <v>305</v>
      </c>
      <c r="E3" s="72" t="s">
        <v>306</v>
      </c>
      <c r="F3" s="72" t="s">
        <v>307</v>
      </c>
      <c r="G3" s="72" t="s">
        <v>308</v>
      </c>
      <c r="H3" s="72" t="s">
        <v>309</v>
      </c>
      <c r="I3" s="72" t="s">
        <v>310</v>
      </c>
      <c r="J3" s="72" t="s">
        <v>311</v>
      </c>
      <c r="K3" s="72" t="s">
        <v>312</v>
      </c>
      <c r="L3" s="72" t="s">
        <v>313</v>
      </c>
      <c r="M3" s="72" t="s">
        <v>314</v>
      </c>
      <c r="N3" s="72" t="s">
        <v>315</v>
      </c>
      <c r="O3" s="72" t="s">
        <v>316</v>
      </c>
      <c r="P3" s="72" t="s">
        <v>317</v>
      </c>
      <c r="Q3" s="72" t="s">
        <v>318</v>
      </c>
      <c r="R3" s="72" t="s">
        <v>319</v>
      </c>
      <c r="S3" s="72" t="s">
        <v>320</v>
      </c>
      <c r="T3" s="72" t="s">
        <v>321</v>
      </c>
      <c r="U3" s="72" t="s">
        <v>322</v>
      </c>
      <c r="V3" s="72" t="s">
        <v>323</v>
      </c>
      <c r="W3" s="72" t="s">
        <v>324</v>
      </c>
      <c r="X3" s="103" t="s">
        <v>124</v>
      </c>
    </row>
    <row r="5" spans="1:24" ht="15" customHeight="1" x14ac:dyDescent="0.2">
      <c r="A5" s="22" t="s">
        <v>550</v>
      </c>
      <c r="B5" s="4" t="s">
        <v>88</v>
      </c>
      <c r="C5" s="63">
        <v>0</v>
      </c>
      <c r="D5" s="63">
        <f>-C22*Assumptions!E34</f>
        <v>-32181250</v>
      </c>
      <c r="E5" s="63">
        <f>-D22*Assumptions!E34</f>
        <v>-32181250</v>
      </c>
      <c r="F5" s="63">
        <f>-E22*Assumptions!E34</f>
        <v>-27583928.571428571</v>
      </c>
      <c r="G5" s="63">
        <f>-F22*Assumptions!E34</f>
        <v>-22986607.142857146</v>
      </c>
      <c r="H5" s="63">
        <f>-G22*Assumptions!E34</f>
        <v>-18389285.714285716</v>
      </c>
      <c r="I5" s="63">
        <f>-H22*Assumptions!E34</f>
        <v>-13791964.285714289</v>
      </c>
      <c r="J5" s="63">
        <f>-I22*Assumptions!E34</f>
        <v>-9194642.8571428619</v>
      </c>
      <c r="K5" s="63">
        <f>-J22*Assumptions!E34</f>
        <v>-4597321.4285714328</v>
      </c>
      <c r="L5" s="63">
        <f>-K22*Assumptions!E34</f>
        <v>-4.2468309402465825E-9</v>
      </c>
      <c r="M5" s="63">
        <f>-L22*Assumptions!E34</f>
        <v>-4.2468309402465825E-9</v>
      </c>
      <c r="N5" s="63">
        <f>-M22*Assumptions!E34</f>
        <v>-4.2468309402465825E-9</v>
      </c>
      <c r="O5" s="63">
        <f>-N22*Assumptions!E34</f>
        <v>-4.2468309402465825E-9</v>
      </c>
      <c r="P5" s="63">
        <f>-O22*Assumptions!E34</f>
        <v>-4.2468309402465825E-9</v>
      </c>
      <c r="Q5" s="63">
        <f>-P22*Assumptions!E34</f>
        <v>-4.2468309402465825E-9</v>
      </c>
      <c r="R5" s="63">
        <f>-Q22*Assumptions!E34</f>
        <v>-4.2468309402465825E-9</v>
      </c>
      <c r="S5" s="63">
        <f>-R22*Assumptions!E34</f>
        <v>-4.2468309402465825E-9</v>
      </c>
      <c r="T5" s="63">
        <f>-S22*Assumptions!E34</f>
        <v>-4.2468309402465825E-9</v>
      </c>
      <c r="U5" s="63">
        <f>-T22*Assumptions!E34</f>
        <v>-4.2468309402465825E-9</v>
      </c>
      <c r="V5" s="63">
        <f>-U22*Assumptions!E34</f>
        <v>-4.2468309402465825E-9</v>
      </c>
      <c r="W5" s="63">
        <f>-V22*Assumptions!E34</f>
        <v>-4.2468309402465825E-9</v>
      </c>
    </row>
    <row r="6" spans="1:24" ht="15" customHeight="1" x14ac:dyDescent="0.2">
      <c r="A6" s="22" t="s">
        <v>551</v>
      </c>
      <c r="B6" s="4" t="s">
        <v>88</v>
      </c>
      <c r="C6" s="63">
        <v>0</v>
      </c>
      <c r="D6" s="63">
        <f>-C23*Assumptions!E35</f>
        <v>-28455000.000000004</v>
      </c>
      <c r="E6" s="63">
        <f>-D23*Assumptions!E35</f>
        <v>-28455000.000000004</v>
      </c>
      <c r="F6" s="63">
        <f>-E23*Assumptions!E35</f>
        <v>-28455000.000000004</v>
      </c>
      <c r="G6" s="63">
        <f>-F23*Assumptions!E35</f>
        <v>-28455000.000000004</v>
      </c>
      <c r="H6" s="63">
        <f>-G23*Assumptions!E35</f>
        <v>-28455000.000000004</v>
      </c>
      <c r="I6" s="63">
        <f>-H23*Assumptions!E35</f>
        <v>0</v>
      </c>
      <c r="J6" s="63">
        <f>-I23*Assumptions!E35</f>
        <v>0</v>
      </c>
      <c r="K6" s="63">
        <f>-J23*Assumptions!E35</f>
        <v>0</v>
      </c>
      <c r="L6" s="63">
        <f>-K23*Assumptions!E35</f>
        <v>0</v>
      </c>
      <c r="M6" s="63">
        <f>-L23*Assumptions!E35</f>
        <v>0</v>
      </c>
      <c r="N6" s="63">
        <f>-M23*Assumptions!E35</f>
        <v>0</v>
      </c>
      <c r="O6" s="63">
        <f>-N23*Assumptions!E35</f>
        <v>0</v>
      </c>
      <c r="P6" s="63">
        <f>-O23*Assumptions!E35</f>
        <v>0</v>
      </c>
      <c r="Q6" s="63">
        <f>-P23*Assumptions!E35</f>
        <v>0</v>
      </c>
      <c r="R6" s="63">
        <f>-Q23*Assumptions!E35</f>
        <v>0</v>
      </c>
      <c r="S6" s="63">
        <f>-R23*Assumptions!E35</f>
        <v>0</v>
      </c>
      <c r="T6" s="63">
        <f>-S23*Assumptions!E35</f>
        <v>0</v>
      </c>
      <c r="U6" s="63">
        <f>-T23*Assumptions!E35</f>
        <v>0</v>
      </c>
      <c r="V6" s="63">
        <f>-U23*Assumptions!E35</f>
        <v>0</v>
      </c>
      <c r="W6" s="63">
        <f>-V23*Assumptions!E35</f>
        <v>0</v>
      </c>
    </row>
    <row r="7" spans="1:24" ht="15" customHeight="1" x14ac:dyDescent="0.2"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</row>
    <row r="8" spans="1:24" ht="15" customHeight="1" x14ac:dyDescent="0.2"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</row>
    <row r="9" spans="1:24" ht="15" customHeight="1" x14ac:dyDescent="0.2"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1:24" ht="15" customHeight="1" x14ac:dyDescent="0.2">
      <c r="A10" s="22" t="s">
        <v>552</v>
      </c>
      <c r="B10" s="4" t="s">
        <v>88</v>
      </c>
      <c r="C10" s="65">
        <f t="shared" ref="C10:W10" si="0">C5+C6</f>
        <v>0</v>
      </c>
      <c r="D10" s="65">
        <f t="shared" si="0"/>
        <v>-60636250</v>
      </c>
      <c r="E10" s="65">
        <f t="shared" si="0"/>
        <v>-60636250</v>
      </c>
      <c r="F10" s="65">
        <f t="shared" si="0"/>
        <v>-56038928.571428575</v>
      </c>
      <c r="G10" s="65">
        <f t="shared" si="0"/>
        <v>-51441607.142857149</v>
      </c>
      <c r="H10" s="65">
        <f t="shared" si="0"/>
        <v>-46844285.714285716</v>
      </c>
      <c r="I10" s="65">
        <f t="shared" si="0"/>
        <v>-13791964.285714289</v>
      </c>
      <c r="J10" s="65">
        <f t="shared" si="0"/>
        <v>-9194642.8571428619</v>
      </c>
      <c r="K10" s="65">
        <f t="shared" si="0"/>
        <v>-4597321.4285714328</v>
      </c>
      <c r="L10" s="65">
        <f t="shared" si="0"/>
        <v>-4.2468309402465825E-9</v>
      </c>
      <c r="M10" s="65">
        <f t="shared" si="0"/>
        <v>-4.2468309402465825E-9</v>
      </c>
      <c r="N10" s="65">
        <f t="shared" si="0"/>
        <v>-4.2468309402465825E-9</v>
      </c>
      <c r="O10" s="65">
        <f t="shared" si="0"/>
        <v>-4.2468309402465825E-9</v>
      </c>
      <c r="P10" s="65">
        <f t="shared" si="0"/>
        <v>-4.2468309402465825E-9</v>
      </c>
      <c r="Q10" s="65">
        <f t="shared" si="0"/>
        <v>-4.2468309402465825E-9</v>
      </c>
      <c r="R10" s="65">
        <f t="shared" si="0"/>
        <v>-4.2468309402465825E-9</v>
      </c>
      <c r="S10" s="65">
        <f t="shared" si="0"/>
        <v>-4.2468309402465825E-9</v>
      </c>
      <c r="T10" s="65">
        <f t="shared" si="0"/>
        <v>-4.2468309402465825E-9</v>
      </c>
      <c r="U10" s="65">
        <f t="shared" si="0"/>
        <v>-4.2468309402465825E-9</v>
      </c>
      <c r="V10" s="65">
        <f t="shared" si="0"/>
        <v>-4.2468309402465825E-9</v>
      </c>
      <c r="W10" s="65">
        <f t="shared" si="0"/>
        <v>-4.2468309402465825E-9</v>
      </c>
      <c r="X10">
        <f>SUM(C10:W10)</f>
        <v>-303181250</v>
      </c>
    </row>
    <row r="11" spans="1:24" ht="15" customHeight="1" x14ac:dyDescent="0.2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1:24" ht="15" customHeight="1" x14ac:dyDescent="0.2">
      <c r="A12" s="22" t="s">
        <v>553</v>
      </c>
      <c r="B12" s="4" t="s">
        <v>88</v>
      </c>
      <c r="C12" s="79">
        <f>Assumptions!F22</f>
        <v>338750000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</row>
    <row r="13" spans="1:24" ht="15" customHeight="1" x14ac:dyDescent="0.2">
      <c r="A13" s="22" t="s">
        <v>554</v>
      </c>
      <c r="B13" s="4" t="s">
        <v>88</v>
      </c>
      <c r="C13" s="79">
        <f>Assumptions!F23</f>
        <v>203250000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</row>
    <row r="14" spans="1:24" ht="15" customHeight="1" x14ac:dyDescent="0.2"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1:24" ht="15" customHeight="1" x14ac:dyDescent="0.2">
      <c r="A15" s="22" t="s">
        <v>555</v>
      </c>
      <c r="B15" s="4" t="s">
        <v>88</v>
      </c>
      <c r="C15" s="65">
        <f t="shared" ref="C15:W15" si="1">C12+C13</f>
        <v>542000000</v>
      </c>
      <c r="D15" s="65">
        <f t="shared" si="1"/>
        <v>0</v>
      </c>
      <c r="E15" s="65">
        <f t="shared" si="1"/>
        <v>0</v>
      </c>
      <c r="F15" s="65">
        <f t="shared" si="1"/>
        <v>0</v>
      </c>
      <c r="G15" s="65">
        <f t="shared" si="1"/>
        <v>0</v>
      </c>
      <c r="H15" s="65">
        <f t="shared" si="1"/>
        <v>0</v>
      </c>
      <c r="I15" s="65">
        <f t="shared" si="1"/>
        <v>0</v>
      </c>
      <c r="J15" s="65">
        <f t="shared" si="1"/>
        <v>0</v>
      </c>
      <c r="K15" s="65">
        <f t="shared" si="1"/>
        <v>0</v>
      </c>
      <c r="L15" s="65">
        <f t="shared" si="1"/>
        <v>0</v>
      </c>
      <c r="M15" s="65">
        <f t="shared" si="1"/>
        <v>0</v>
      </c>
      <c r="N15" s="65">
        <f t="shared" si="1"/>
        <v>0</v>
      </c>
      <c r="O15" s="65">
        <f t="shared" si="1"/>
        <v>0</v>
      </c>
      <c r="P15" s="65">
        <f t="shared" si="1"/>
        <v>0</v>
      </c>
      <c r="Q15" s="65">
        <f t="shared" si="1"/>
        <v>0</v>
      </c>
      <c r="R15" s="65">
        <f t="shared" si="1"/>
        <v>0</v>
      </c>
      <c r="S15" s="65">
        <f t="shared" si="1"/>
        <v>0</v>
      </c>
      <c r="T15" s="65">
        <f t="shared" si="1"/>
        <v>0</v>
      </c>
      <c r="U15" s="65">
        <f t="shared" si="1"/>
        <v>0</v>
      </c>
      <c r="V15" s="65">
        <f t="shared" si="1"/>
        <v>0</v>
      </c>
      <c r="W15" s="65">
        <f t="shared" si="1"/>
        <v>0</v>
      </c>
      <c r="X15">
        <f>SUM(C15:W15)</f>
        <v>542000000</v>
      </c>
    </row>
    <row r="16" spans="1:24" ht="15" customHeight="1" x14ac:dyDescent="0.2"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spans="1:24" ht="15" customHeight="1" x14ac:dyDescent="0.2">
      <c r="A17" s="22" t="s">
        <v>556</v>
      </c>
      <c r="B17" s="4" t="s">
        <v>88</v>
      </c>
      <c r="C17" s="63">
        <v>0</v>
      </c>
      <c r="D17" s="63">
        <f>IF(AND(1&gt;Assumptions!E38,1&lt;=Assumptions!E36),-C12/(Assumptions!E36-Assumptions!E38),0)</f>
        <v>0</v>
      </c>
      <c r="E17" s="63">
        <f>IF(AND(2&gt;Assumptions!E38,2&lt;=Assumptions!E36),-C12/(Assumptions!E36-Assumptions!E38),0)</f>
        <v>-48392857.142857142</v>
      </c>
      <c r="F17" s="63">
        <f>IF(AND(3&gt;Assumptions!E38,3&lt;=Assumptions!E36),-C12/(Assumptions!E36-Assumptions!E38),0)</f>
        <v>-48392857.142857142</v>
      </c>
      <c r="G17" s="63">
        <f>IF(AND(4&gt;Assumptions!E38,4&lt;=Assumptions!E36),-C12/(Assumptions!E36-Assumptions!E38),0)</f>
        <v>-48392857.142857142</v>
      </c>
      <c r="H17" s="63">
        <f>IF(AND(5&gt;Assumptions!E38,5&lt;=Assumptions!E36),-C12/(Assumptions!E36-Assumptions!E38),0)</f>
        <v>-48392857.142857142</v>
      </c>
      <c r="I17" s="63">
        <f>IF(AND(6&gt;Assumptions!E38,6&lt;=Assumptions!E36),-C12/(Assumptions!E36-Assumptions!E38),0)</f>
        <v>-48392857.142857142</v>
      </c>
      <c r="J17" s="63">
        <f>IF(AND(7&gt;Assumptions!E38,7&lt;=Assumptions!E36),-C12/(Assumptions!E36-Assumptions!E38),0)</f>
        <v>-48392857.142857142</v>
      </c>
      <c r="K17" s="63">
        <f>IF(AND(8&gt;Assumptions!E38,8&lt;=Assumptions!E36),-C12/(Assumptions!E36-Assumptions!E38),0)</f>
        <v>-48392857.142857142</v>
      </c>
      <c r="L17" s="63">
        <f>IF(AND(9&gt;Assumptions!E38,9&lt;=Assumptions!E36),-C12/(Assumptions!E36-Assumptions!E38),0)</f>
        <v>0</v>
      </c>
      <c r="M17" s="63">
        <f>IF(AND(10&gt;Assumptions!E38,10&lt;=Assumptions!E36),-C12/(Assumptions!E36-Assumptions!E38),0)</f>
        <v>0</v>
      </c>
      <c r="N17" s="63">
        <f>IF(AND(11&gt;Assumptions!E38,11&lt;=Assumptions!E36),-C12/(Assumptions!E36-Assumptions!E38),0)</f>
        <v>0</v>
      </c>
      <c r="O17" s="63">
        <f>IF(AND(12&gt;Assumptions!E38,12&lt;=Assumptions!E36),-C12/(Assumptions!E36-Assumptions!E38),0)</f>
        <v>0</v>
      </c>
      <c r="P17" s="63">
        <f>IF(AND(13&gt;Assumptions!E38,13&lt;=Assumptions!E36),-C12/(Assumptions!E36-Assumptions!E38),0)</f>
        <v>0</v>
      </c>
      <c r="Q17" s="63">
        <f>IF(AND(14&gt;Assumptions!E38,14&lt;=Assumptions!E36),-C12/(Assumptions!E36-Assumptions!E38),0)</f>
        <v>0</v>
      </c>
      <c r="R17" s="63">
        <f>IF(AND(15&gt;Assumptions!E38,15&lt;=Assumptions!E36),-C12/(Assumptions!E36-Assumptions!E38),0)</f>
        <v>0</v>
      </c>
      <c r="S17" s="63">
        <f>IF(AND(16&gt;Assumptions!E38,16&lt;=Assumptions!E36),-C12/(Assumptions!E36-Assumptions!E38),0)</f>
        <v>0</v>
      </c>
      <c r="T17" s="63">
        <f>IF(AND(17&gt;Assumptions!E38,17&lt;=Assumptions!E36),-C12/(Assumptions!E36-Assumptions!E38),0)</f>
        <v>0</v>
      </c>
      <c r="U17" s="63">
        <f>IF(AND(18&gt;Assumptions!E38,18&lt;=Assumptions!E36),-C12/(Assumptions!E36-Assumptions!E38),0)</f>
        <v>0</v>
      </c>
      <c r="V17" s="63">
        <f>IF(AND(19&gt;Assumptions!E38,19&lt;=Assumptions!E36),-C12/(Assumptions!E36-Assumptions!E38),0)</f>
        <v>0</v>
      </c>
      <c r="W17" s="63">
        <f>IF(AND(20&gt;Assumptions!E38,20&lt;=Assumptions!E36),-C12/(Assumptions!E36-Assumptions!E38),0)</f>
        <v>0</v>
      </c>
    </row>
    <row r="18" spans="1:24" ht="15" customHeight="1" x14ac:dyDescent="0.2">
      <c r="A18" s="22" t="s">
        <v>557</v>
      </c>
      <c r="B18" s="4" t="s">
        <v>88</v>
      </c>
      <c r="C18" s="63">
        <v>0</v>
      </c>
      <c r="D18" s="63">
        <f>IF(1=Assumptions!E39,-C13,0)</f>
        <v>0</v>
      </c>
      <c r="E18" s="63">
        <f>IF(2=Assumptions!E39,-C13,0)</f>
        <v>0</v>
      </c>
      <c r="F18" s="63">
        <f>IF(3=Assumptions!E39,-C13,0)</f>
        <v>0</v>
      </c>
      <c r="G18" s="63">
        <f>IF(4=Assumptions!E39,-C13,0)</f>
        <v>0</v>
      </c>
      <c r="H18" s="63">
        <f>IF(5=Assumptions!E39,-C13,0)</f>
        <v>-203250000</v>
      </c>
      <c r="I18" s="63">
        <f>IF(6=Assumptions!E39,-C13,0)</f>
        <v>0</v>
      </c>
      <c r="J18" s="63">
        <f>IF(7=Assumptions!E39,-C13,0)</f>
        <v>0</v>
      </c>
      <c r="K18" s="63">
        <f>IF(8=Assumptions!E39,-C13,0)</f>
        <v>0</v>
      </c>
      <c r="L18" s="63">
        <f>IF(9=Assumptions!E39,-C13,0)</f>
        <v>0</v>
      </c>
      <c r="M18" s="63">
        <f>IF(10=Assumptions!E39,-C13,0)</f>
        <v>0</v>
      </c>
      <c r="N18" s="63">
        <f>IF(11=Assumptions!E39,-C13,0)</f>
        <v>0</v>
      </c>
      <c r="O18" s="63">
        <f>IF(12=Assumptions!E39,-C13,0)</f>
        <v>0</v>
      </c>
      <c r="P18" s="63">
        <f>IF(13=Assumptions!E39,-C13,0)</f>
        <v>0</v>
      </c>
      <c r="Q18" s="63">
        <f>IF(14=Assumptions!E39,-C13,0)</f>
        <v>0</v>
      </c>
      <c r="R18" s="63">
        <f>IF(15=Assumptions!E39,-C13,0)</f>
        <v>0</v>
      </c>
      <c r="S18" s="63">
        <f>IF(16=Assumptions!E39,-C13,0)</f>
        <v>0</v>
      </c>
      <c r="T18" s="63">
        <f>IF(17=Assumptions!E39,-C13,0)</f>
        <v>0</v>
      </c>
      <c r="U18" s="63">
        <f>IF(18=Assumptions!E39,-C13,0)</f>
        <v>0</v>
      </c>
      <c r="V18" s="63">
        <f>IF(19=Assumptions!E39,-C13,0)</f>
        <v>0</v>
      </c>
      <c r="W18" s="63">
        <f>IF(20=Assumptions!E39,-C13,0)</f>
        <v>0</v>
      </c>
    </row>
    <row r="19" spans="1:24" ht="15" customHeight="1" x14ac:dyDescent="0.2">
      <c r="C19" s="63">
        <f>IF(C3=Assumptions!$B$6+Assumptions!$E$39,-B24,0)</f>
        <v>0</v>
      </c>
      <c r="D19" s="63">
        <f>IF(D3=Assumptions!$B$6+Assumptions!$E$39,-C24,0)</f>
        <v>0</v>
      </c>
      <c r="E19" s="63">
        <f>IF(E3=Assumptions!$B$6+Assumptions!$E$39,-D24,0)</f>
        <v>0</v>
      </c>
      <c r="F19" s="63">
        <f>IF(F3=Assumptions!$B$6+Assumptions!$E$39,-E24,0)</f>
        <v>0</v>
      </c>
      <c r="G19" s="63">
        <f>IF(G3=Assumptions!$B$6+Assumptions!$E$39,-F24,0)</f>
        <v>0</v>
      </c>
      <c r="H19" s="63">
        <f>IF(H3=Assumptions!$B$6+Assumptions!$E$39,-G24,0)</f>
        <v>0</v>
      </c>
      <c r="I19" s="63">
        <f>IF(I3=Assumptions!$B$6+Assumptions!$E$39,-H24,0)</f>
        <v>0</v>
      </c>
      <c r="J19" s="63">
        <f>IF(J3=Assumptions!$B$6+Assumptions!$E$39,-I24,0)</f>
        <v>0</v>
      </c>
      <c r="K19" s="63">
        <f>IF(K3=Assumptions!$B$6+Assumptions!$E$39,-J24,0)</f>
        <v>0</v>
      </c>
      <c r="L19" s="63">
        <f>IF(L3=Assumptions!$B$6+Assumptions!$E$39,-K24,0)</f>
        <v>0</v>
      </c>
      <c r="M19" s="63">
        <f>IF(M3=Assumptions!$B$6+Assumptions!$E$39,-L24,0)</f>
        <v>0</v>
      </c>
      <c r="N19" s="63">
        <f>IF(N3=Assumptions!$B$6+Assumptions!$E$39,-M24,0)</f>
        <v>0</v>
      </c>
      <c r="O19" s="63">
        <f>IF(O3=Assumptions!$B$6+Assumptions!$E$39,-N24,0)</f>
        <v>0</v>
      </c>
      <c r="P19" s="63">
        <f>IF(P3=Assumptions!$B$6+Assumptions!$E$39,-O24,0)</f>
        <v>0</v>
      </c>
      <c r="Q19" s="63">
        <f>IF(Q3=Assumptions!$B$6+Assumptions!$E$39,-P24,0)</f>
        <v>0</v>
      </c>
      <c r="R19" s="63">
        <f>IF(R3=Assumptions!$B$6+Assumptions!$E$39,-Q24,0)</f>
        <v>0</v>
      </c>
      <c r="S19" s="63">
        <f>IF(S3=Assumptions!$B$6+Assumptions!$E$39,-R24,0)</f>
        <v>0</v>
      </c>
      <c r="T19" s="63">
        <f>IF(T3=Assumptions!$B$6+Assumptions!$E$39,-S24,0)</f>
        <v>0</v>
      </c>
      <c r="U19" s="63">
        <f>IF(U3=Assumptions!$B$6+Assumptions!$E$39,-T24,0)</f>
        <v>0</v>
      </c>
      <c r="V19" s="63">
        <f>IF(V3=Assumptions!$B$6+Assumptions!$E$39,-U24,0)</f>
        <v>0</v>
      </c>
      <c r="W19" s="63">
        <f>IF(W3=Assumptions!$B$6+Assumptions!$E$39,-V24,0)</f>
        <v>0</v>
      </c>
    </row>
    <row r="20" spans="1:24" ht="15" customHeight="1" x14ac:dyDescent="0.2">
      <c r="A20" s="22" t="s">
        <v>558</v>
      </c>
      <c r="B20" s="4" t="s">
        <v>88</v>
      </c>
      <c r="C20" s="65">
        <f t="shared" ref="C20:W20" si="2">C17+C18</f>
        <v>0</v>
      </c>
      <c r="D20" s="65">
        <f t="shared" si="2"/>
        <v>0</v>
      </c>
      <c r="E20" s="65">
        <f t="shared" si="2"/>
        <v>-48392857.142857142</v>
      </c>
      <c r="F20" s="65">
        <f t="shared" si="2"/>
        <v>-48392857.142857142</v>
      </c>
      <c r="G20" s="65">
        <f t="shared" si="2"/>
        <v>-48392857.142857142</v>
      </c>
      <c r="H20" s="65">
        <f t="shared" si="2"/>
        <v>-251642857.14285713</v>
      </c>
      <c r="I20" s="65">
        <f t="shared" si="2"/>
        <v>-48392857.142857142</v>
      </c>
      <c r="J20" s="65">
        <f t="shared" si="2"/>
        <v>-48392857.142857142</v>
      </c>
      <c r="K20" s="65">
        <f t="shared" si="2"/>
        <v>-48392857.142857142</v>
      </c>
      <c r="L20" s="65">
        <f t="shared" si="2"/>
        <v>0</v>
      </c>
      <c r="M20" s="65">
        <f t="shared" si="2"/>
        <v>0</v>
      </c>
      <c r="N20" s="65">
        <f t="shared" si="2"/>
        <v>0</v>
      </c>
      <c r="O20" s="65">
        <f t="shared" si="2"/>
        <v>0</v>
      </c>
      <c r="P20" s="65">
        <f t="shared" si="2"/>
        <v>0</v>
      </c>
      <c r="Q20" s="65">
        <f t="shared" si="2"/>
        <v>0</v>
      </c>
      <c r="R20" s="65">
        <f t="shared" si="2"/>
        <v>0</v>
      </c>
      <c r="S20" s="65">
        <f t="shared" si="2"/>
        <v>0</v>
      </c>
      <c r="T20" s="65">
        <f t="shared" si="2"/>
        <v>0</v>
      </c>
      <c r="U20" s="65">
        <f t="shared" si="2"/>
        <v>0</v>
      </c>
      <c r="V20" s="65">
        <f t="shared" si="2"/>
        <v>0</v>
      </c>
      <c r="W20" s="65">
        <f t="shared" si="2"/>
        <v>0</v>
      </c>
      <c r="X20">
        <f>SUM(C20:W20)</f>
        <v>-542000000</v>
      </c>
    </row>
    <row r="21" spans="1:24" ht="15" customHeight="1" x14ac:dyDescent="0.2"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</row>
    <row r="22" spans="1:24" ht="15" customHeight="1" x14ac:dyDescent="0.2">
      <c r="A22" s="22" t="s">
        <v>559</v>
      </c>
      <c r="B22" s="4" t="s">
        <v>88</v>
      </c>
      <c r="C22" s="63">
        <f>C12</f>
        <v>338750000</v>
      </c>
      <c r="D22" s="63">
        <f t="shared" ref="D22:W22" si="3">MAX(0,C22+D12+D17)</f>
        <v>338750000</v>
      </c>
      <c r="E22" s="63">
        <f t="shared" si="3"/>
        <v>290357142.85714287</v>
      </c>
      <c r="F22" s="63">
        <f t="shared" si="3"/>
        <v>241964285.71428573</v>
      </c>
      <c r="G22" s="63">
        <f t="shared" si="3"/>
        <v>193571428.5714286</v>
      </c>
      <c r="H22" s="63">
        <f t="shared" si="3"/>
        <v>145178571.42857146</v>
      </c>
      <c r="I22" s="63">
        <f t="shared" si="3"/>
        <v>96785714.285714328</v>
      </c>
      <c r="J22" s="63">
        <f t="shared" si="3"/>
        <v>48392857.142857186</v>
      </c>
      <c r="K22" s="63">
        <f t="shared" si="3"/>
        <v>4.4703483581542969E-8</v>
      </c>
      <c r="L22" s="63">
        <f t="shared" si="3"/>
        <v>4.4703483581542969E-8</v>
      </c>
      <c r="M22" s="63">
        <f t="shared" si="3"/>
        <v>4.4703483581542969E-8</v>
      </c>
      <c r="N22" s="63">
        <f t="shared" si="3"/>
        <v>4.4703483581542969E-8</v>
      </c>
      <c r="O22" s="63">
        <f t="shared" si="3"/>
        <v>4.4703483581542969E-8</v>
      </c>
      <c r="P22" s="63">
        <f t="shared" si="3"/>
        <v>4.4703483581542969E-8</v>
      </c>
      <c r="Q22" s="63">
        <f t="shared" si="3"/>
        <v>4.4703483581542969E-8</v>
      </c>
      <c r="R22" s="63">
        <f t="shared" si="3"/>
        <v>4.4703483581542969E-8</v>
      </c>
      <c r="S22" s="63">
        <f t="shared" si="3"/>
        <v>4.4703483581542969E-8</v>
      </c>
      <c r="T22" s="63">
        <f t="shared" si="3"/>
        <v>4.4703483581542969E-8</v>
      </c>
      <c r="U22" s="63">
        <f t="shared" si="3"/>
        <v>4.4703483581542969E-8</v>
      </c>
      <c r="V22" s="63">
        <f t="shared" si="3"/>
        <v>4.4703483581542969E-8</v>
      </c>
      <c r="W22" s="63">
        <f t="shared" si="3"/>
        <v>4.4703483581542969E-8</v>
      </c>
    </row>
    <row r="23" spans="1:24" ht="15" customHeight="1" x14ac:dyDescent="0.2">
      <c r="A23" s="22" t="s">
        <v>560</v>
      </c>
      <c r="B23" s="4" t="s">
        <v>88</v>
      </c>
      <c r="C23" s="63">
        <f>C13</f>
        <v>203250000</v>
      </c>
      <c r="D23" s="63">
        <f t="shared" ref="D23:W23" si="4">MAX(0,C23+D13+D18)</f>
        <v>203250000</v>
      </c>
      <c r="E23" s="63">
        <f t="shared" si="4"/>
        <v>203250000</v>
      </c>
      <c r="F23" s="63">
        <f t="shared" si="4"/>
        <v>203250000</v>
      </c>
      <c r="G23" s="63">
        <f t="shared" si="4"/>
        <v>203250000</v>
      </c>
      <c r="H23" s="63">
        <f t="shared" si="4"/>
        <v>0</v>
      </c>
      <c r="I23" s="63">
        <f t="shared" si="4"/>
        <v>0</v>
      </c>
      <c r="J23" s="63">
        <f t="shared" si="4"/>
        <v>0</v>
      </c>
      <c r="K23" s="63">
        <f t="shared" si="4"/>
        <v>0</v>
      </c>
      <c r="L23" s="63">
        <f t="shared" si="4"/>
        <v>0</v>
      </c>
      <c r="M23" s="63">
        <f t="shared" si="4"/>
        <v>0</v>
      </c>
      <c r="N23" s="63">
        <f t="shared" si="4"/>
        <v>0</v>
      </c>
      <c r="O23" s="63">
        <f t="shared" si="4"/>
        <v>0</v>
      </c>
      <c r="P23" s="63">
        <f t="shared" si="4"/>
        <v>0</v>
      </c>
      <c r="Q23" s="63">
        <f t="shared" si="4"/>
        <v>0</v>
      </c>
      <c r="R23" s="63">
        <f t="shared" si="4"/>
        <v>0</v>
      </c>
      <c r="S23" s="63">
        <f t="shared" si="4"/>
        <v>0</v>
      </c>
      <c r="T23" s="63">
        <f t="shared" si="4"/>
        <v>0</v>
      </c>
      <c r="U23" s="63">
        <f t="shared" si="4"/>
        <v>0</v>
      </c>
      <c r="V23" s="63">
        <f t="shared" si="4"/>
        <v>0</v>
      </c>
      <c r="W23" s="63">
        <f t="shared" si="4"/>
        <v>0</v>
      </c>
    </row>
    <row r="24" spans="1:24" ht="15" customHeight="1" x14ac:dyDescent="0.2"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</row>
    <row r="25" spans="1:24" ht="15" customHeight="1" x14ac:dyDescent="0.2">
      <c r="A25" s="22" t="s">
        <v>561</v>
      </c>
      <c r="B25" s="4" t="s">
        <v>88</v>
      </c>
      <c r="C25" s="65">
        <f t="shared" ref="C25:W25" si="5">C22+C23</f>
        <v>542000000</v>
      </c>
      <c r="D25" s="65">
        <f t="shared" si="5"/>
        <v>542000000</v>
      </c>
      <c r="E25" s="65">
        <f t="shared" si="5"/>
        <v>493607142.85714287</v>
      </c>
      <c r="F25" s="65">
        <f t="shared" si="5"/>
        <v>445214285.71428573</v>
      </c>
      <c r="G25" s="65">
        <f t="shared" si="5"/>
        <v>396821428.5714286</v>
      </c>
      <c r="H25" s="65">
        <f t="shared" si="5"/>
        <v>145178571.42857146</v>
      </c>
      <c r="I25" s="65">
        <f t="shared" si="5"/>
        <v>96785714.285714328</v>
      </c>
      <c r="J25" s="65">
        <f t="shared" si="5"/>
        <v>48392857.142857186</v>
      </c>
      <c r="K25" s="65">
        <f t="shared" si="5"/>
        <v>4.4703483581542969E-8</v>
      </c>
      <c r="L25" s="65">
        <f t="shared" si="5"/>
        <v>4.4703483581542969E-8</v>
      </c>
      <c r="M25" s="65">
        <f t="shared" si="5"/>
        <v>4.4703483581542969E-8</v>
      </c>
      <c r="N25" s="65">
        <f t="shared" si="5"/>
        <v>4.4703483581542969E-8</v>
      </c>
      <c r="O25" s="65">
        <f t="shared" si="5"/>
        <v>4.4703483581542969E-8</v>
      </c>
      <c r="P25" s="65">
        <f t="shared" si="5"/>
        <v>4.4703483581542969E-8</v>
      </c>
      <c r="Q25" s="65">
        <f t="shared" si="5"/>
        <v>4.4703483581542969E-8</v>
      </c>
      <c r="R25" s="65">
        <f t="shared" si="5"/>
        <v>4.4703483581542969E-8</v>
      </c>
      <c r="S25" s="65">
        <f t="shared" si="5"/>
        <v>4.4703483581542969E-8</v>
      </c>
      <c r="T25" s="65">
        <f t="shared" si="5"/>
        <v>4.4703483581542969E-8</v>
      </c>
      <c r="U25" s="65">
        <f t="shared" si="5"/>
        <v>4.4703483581542969E-8</v>
      </c>
      <c r="V25" s="65">
        <f t="shared" si="5"/>
        <v>4.4703483581542969E-8</v>
      </c>
      <c r="W25" s="65">
        <f t="shared" si="5"/>
        <v>4.4703483581542969E-8</v>
      </c>
    </row>
    <row r="26" spans="1:24" ht="15" customHeight="1" x14ac:dyDescent="0.2"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spans="1:24" ht="15" customHeight="1" x14ac:dyDescent="0.2"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</row>
    <row r="28" spans="1:24" ht="15" customHeight="1" x14ac:dyDescent="0.2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</row>
    <row r="29" spans="1:24" ht="15" customHeight="1" x14ac:dyDescent="0.2"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spans="1:24" ht="15" customHeight="1" x14ac:dyDescent="0.2">
      <c r="A30" s="22" t="s">
        <v>562</v>
      </c>
      <c r="B30" s="4" t="s">
        <v>88</v>
      </c>
      <c r="C30" s="63">
        <f t="shared" ref="C30:W30" si="6">C15+C20</f>
        <v>542000000</v>
      </c>
      <c r="D30" s="63">
        <f t="shared" si="6"/>
        <v>0</v>
      </c>
      <c r="E30" s="63">
        <f t="shared" si="6"/>
        <v>-48392857.142857142</v>
      </c>
      <c r="F30" s="63">
        <f t="shared" si="6"/>
        <v>-48392857.142857142</v>
      </c>
      <c r="G30" s="63">
        <f t="shared" si="6"/>
        <v>-48392857.142857142</v>
      </c>
      <c r="H30" s="63">
        <f t="shared" si="6"/>
        <v>-251642857.14285713</v>
      </c>
      <c r="I30" s="63">
        <f t="shared" si="6"/>
        <v>-48392857.142857142</v>
      </c>
      <c r="J30" s="63">
        <f t="shared" si="6"/>
        <v>-48392857.142857142</v>
      </c>
      <c r="K30" s="63">
        <f t="shared" si="6"/>
        <v>-48392857.142857142</v>
      </c>
      <c r="L30" s="63">
        <f t="shared" si="6"/>
        <v>0</v>
      </c>
      <c r="M30" s="63">
        <f t="shared" si="6"/>
        <v>0</v>
      </c>
      <c r="N30" s="63">
        <f t="shared" si="6"/>
        <v>0</v>
      </c>
      <c r="O30" s="63">
        <f t="shared" si="6"/>
        <v>0</v>
      </c>
      <c r="P30" s="63">
        <f t="shared" si="6"/>
        <v>0</v>
      </c>
      <c r="Q30" s="63">
        <f t="shared" si="6"/>
        <v>0</v>
      </c>
      <c r="R30" s="63">
        <f t="shared" si="6"/>
        <v>0</v>
      </c>
      <c r="S30" s="63">
        <f t="shared" si="6"/>
        <v>0</v>
      </c>
      <c r="T30" s="63">
        <f t="shared" si="6"/>
        <v>0</v>
      </c>
      <c r="U30" s="63">
        <f t="shared" si="6"/>
        <v>0</v>
      </c>
      <c r="V30" s="63">
        <f t="shared" si="6"/>
        <v>0</v>
      </c>
      <c r="W30" s="63">
        <f t="shared" si="6"/>
        <v>0</v>
      </c>
    </row>
    <row r="31" spans="1:24" ht="15" customHeight="1" x14ac:dyDescent="0.2"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</row>
    <row r="32" spans="1:24" ht="15" customHeight="1" x14ac:dyDescent="0.2"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</row>
    <row r="33" spans="1:23" ht="15" customHeight="1" x14ac:dyDescent="0.2"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</row>
    <row r="34" spans="1:23" ht="15" customHeight="1" x14ac:dyDescent="0.2"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</row>
    <row r="35" spans="1:23" ht="15" customHeight="1" x14ac:dyDescent="0.2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</row>
    <row r="36" spans="1:23" ht="15" customHeight="1" x14ac:dyDescent="0.2">
      <c r="A36" s="22" t="s">
        <v>540</v>
      </c>
      <c r="B36" s="4" t="s">
        <v>88</v>
      </c>
      <c r="C36" s="63">
        <f t="shared" ref="C36:V36" si="7">-D20</f>
        <v>0</v>
      </c>
      <c r="D36" s="63">
        <f t="shared" si="7"/>
        <v>48392857.142857142</v>
      </c>
      <c r="E36" s="63">
        <f t="shared" si="7"/>
        <v>48392857.142857142</v>
      </c>
      <c r="F36" s="63">
        <f t="shared" si="7"/>
        <v>48392857.142857142</v>
      </c>
      <c r="G36" s="63">
        <f t="shared" si="7"/>
        <v>251642857.14285713</v>
      </c>
      <c r="H36" s="63">
        <f t="shared" si="7"/>
        <v>48392857.142857142</v>
      </c>
      <c r="I36" s="63">
        <f t="shared" si="7"/>
        <v>48392857.142857142</v>
      </c>
      <c r="J36" s="63">
        <f t="shared" si="7"/>
        <v>48392857.142857142</v>
      </c>
      <c r="K36" s="63">
        <f t="shared" si="7"/>
        <v>0</v>
      </c>
      <c r="L36" s="63">
        <f t="shared" si="7"/>
        <v>0</v>
      </c>
      <c r="M36" s="63">
        <f t="shared" si="7"/>
        <v>0</v>
      </c>
      <c r="N36" s="63">
        <f t="shared" si="7"/>
        <v>0</v>
      </c>
      <c r="O36" s="63">
        <f t="shared" si="7"/>
        <v>0</v>
      </c>
      <c r="P36" s="63">
        <f t="shared" si="7"/>
        <v>0</v>
      </c>
      <c r="Q36" s="63">
        <f t="shared" si="7"/>
        <v>0</v>
      </c>
      <c r="R36" s="63">
        <f t="shared" si="7"/>
        <v>0</v>
      </c>
      <c r="S36" s="63">
        <f t="shared" si="7"/>
        <v>0</v>
      </c>
      <c r="T36" s="63">
        <f t="shared" si="7"/>
        <v>0</v>
      </c>
      <c r="U36" s="63">
        <f t="shared" si="7"/>
        <v>0</v>
      </c>
      <c r="V36" s="63">
        <f t="shared" si="7"/>
        <v>0</v>
      </c>
      <c r="W36" s="63">
        <v>0</v>
      </c>
    </row>
    <row r="37" spans="1:23" ht="15" customHeight="1" x14ac:dyDescent="0.2">
      <c r="A37" s="22" t="s">
        <v>542</v>
      </c>
      <c r="B37" s="4" t="s">
        <v>88</v>
      </c>
      <c r="C37" s="63">
        <f t="shared" ref="C37:W37" si="8">MAX(0,C25-C36)</f>
        <v>542000000</v>
      </c>
      <c r="D37" s="63">
        <f t="shared" si="8"/>
        <v>493607142.85714287</v>
      </c>
      <c r="E37" s="63">
        <f t="shared" si="8"/>
        <v>445214285.71428573</v>
      </c>
      <c r="F37" s="63">
        <f t="shared" si="8"/>
        <v>396821428.5714286</v>
      </c>
      <c r="G37" s="63">
        <f t="shared" si="8"/>
        <v>145178571.42857146</v>
      </c>
      <c r="H37" s="63">
        <f t="shared" si="8"/>
        <v>96785714.285714328</v>
      </c>
      <c r="I37" s="63">
        <f t="shared" si="8"/>
        <v>48392857.142857186</v>
      </c>
      <c r="J37" s="63">
        <f t="shared" si="8"/>
        <v>4.4703483581542969E-8</v>
      </c>
      <c r="K37" s="63">
        <f t="shared" si="8"/>
        <v>4.4703483581542969E-8</v>
      </c>
      <c r="L37" s="63">
        <f t="shared" si="8"/>
        <v>4.4703483581542969E-8</v>
      </c>
      <c r="M37" s="63">
        <f t="shared" si="8"/>
        <v>4.4703483581542969E-8</v>
      </c>
      <c r="N37" s="63">
        <f t="shared" si="8"/>
        <v>4.4703483581542969E-8</v>
      </c>
      <c r="O37" s="63">
        <f t="shared" si="8"/>
        <v>4.4703483581542969E-8</v>
      </c>
      <c r="P37" s="63">
        <f t="shared" si="8"/>
        <v>4.4703483581542969E-8</v>
      </c>
      <c r="Q37" s="63">
        <f t="shared" si="8"/>
        <v>4.4703483581542969E-8</v>
      </c>
      <c r="R37" s="63">
        <f t="shared" si="8"/>
        <v>4.4703483581542969E-8</v>
      </c>
      <c r="S37" s="63">
        <f t="shared" si="8"/>
        <v>4.4703483581542969E-8</v>
      </c>
      <c r="T37" s="63">
        <f t="shared" si="8"/>
        <v>4.4703483581542969E-8</v>
      </c>
      <c r="U37" s="63">
        <f t="shared" si="8"/>
        <v>4.4703483581542969E-8</v>
      </c>
      <c r="V37" s="63">
        <f t="shared" si="8"/>
        <v>4.4703483581542969E-8</v>
      </c>
      <c r="W37" s="63">
        <f t="shared" si="8"/>
        <v>4.4703483581542969E-8</v>
      </c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X4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563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5" customHeight="1" x14ac:dyDescent="0.2">
      <c r="A2" s="4" t="s">
        <v>442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 customHeight="1" x14ac:dyDescent="0.2">
      <c r="A3" s="72"/>
      <c r="B3" s="72"/>
      <c r="C3" s="72" t="s">
        <v>304</v>
      </c>
      <c r="D3" s="72" t="s">
        <v>305</v>
      </c>
      <c r="E3" s="72" t="s">
        <v>306</v>
      </c>
      <c r="F3" s="72" t="s">
        <v>307</v>
      </c>
      <c r="G3" s="72" t="s">
        <v>308</v>
      </c>
      <c r="H3" s="72" t="s">
        <v>309</v>
      </c>
      <c r="I3" s="72" t="s">
        <v>310</v>
      </c>
      <c r="J3" s="72" t="s">
        <v>311</v>
      </c>
      <c r="K3" s="72" t="s">
        <v>312</v>
      </c>
      <c r="L3" s="72" t="s">
        <v>313</v>
      </c>
      <c r="M3" s="72" t="s">
        <v>314</v>
      </c>
      <c r="N3" s="72" t="s">
        <v>315</v>
      </c>
      <c r="O3" s="72" t="s">
        <v>316</v>
      </c>
      <c r="P3" s="72" t="s">
        <v>317</v>
      </c>
      <c r="Q3" s="72" t="s">
        <v>318</v>
      </c>
      <c r="R3" s="72" t="s">
        <v>319</v>
      </c>
      <c r="S3" s="72" t="s">
        <v>320</v>
      </c>
      <c r="T3" s="72" t="s">
        <v>321</v>
      </c>
      <c r="U3" s="72" t="s">
        <v>322</v>
      </c>
      <c r="V3" s="72" t="s">
        <v>323</v>
      </c>
      <c r="W3" s="72" t="s">
        <v>324</v>
      </c>
      <c r="X3" s="73" t="s">
        <v>124</v>
      </c>
    </row>
    <row r="4" spans="1:24" ht="15" customHeight="1" x14ac:dyDescent="0.2">
      <c r="A4" s="27" t="s">
        <v>564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1:24" ht="15" customHeight="1" x14ac:dyDescent="0.2">
      <c r="A5" s="22" t="s">
        <v>463</v>
      </c>
      <c r="B5" s="4" t="s">
        <v>88</v>
      </c>
      <c r="C5" s="79">
        <f>'Income Statement'!C30</f>
        <v>-248400000.00000003</v>
      </c>
      <c r="D5" s="79">
        <f>'Income Statement'!D30</f>
        <v>1490323623.9383609</v>
      </c>
      <c r="E5" s="79">
        <f>'Income Statement'!E30</f>
        <v>2610578777.3716187</v>
      </c>
      <c r="F5" s="79">
        <f>'Income Statement'!F30</f>
        <v>3503856989.0259871</v>
      </c>
      <c r="G5" s="79">
        <f>'Income Statement'!G30</f>
        <v>3724350453.7565541</v>
      </c>
      <c r="H5" s="79">
        <f>'Income Statement'!H30</f>
        <v>2763557288.4474401</v>
      </c>
      <c r="I5" s="79">
        <f>'Income Statement'!I30</f>
        <v>4217460300.8486829</v>
      </c>
      <c r="J5" s="79">
        <f>'Income Statement'!J30</f>
        <v>4478354097.0157394</v>
      </c>
      <c r="K5" s="79">
        <f>'Income Statement'!K30</f>
        <v>4753876973.9014864</v>
      </c>
      <c r="L5" s="79">
        <f>'Income Statement'!L30</f>
        <v>5044829039.5356483</v>
      </c>
      <c r="M5" s="79">
        <f>'Income Statement'!M30</f>
        <v>1009320562.0285312</v>
      </c>
      <c r="N5" s="79">
        <f>'Income Statement'!N30</f>
        <v>324999.99999999575</v>
      </c>
      <c r="O5" s="79">
        <f>'Income Statement'!O30</f>
        <v>43168869.400246039</v>
      </c>
      <c r="P5" s="79">
        <f>'Income Statement'!P30</f>
        <v>45974845.911262035</v>
      </c>
      <c r="Q5" s="79">
        <f>'Income Statement'!Q30</f>
        <v>48963210.895494066</v>
      </c>
      <c r="R5" s="79">
        <f>'Income Statement'!R30</f>
        <v>52145819.603701182</v>
      </c>
      <c r="S5" s="79">
        <f>'Income Statement'!S30</f>
        <v>55535297.877941765</v>
      </c>
      <c r="T5" s="79">
        <f>'Income Statement'!T30</f>
        <v>59145092.240007974</v>
      </c>
      <c r="U5" s="79">
        <f>'Income Statement'!U30</f>
        <v>62989523.235608496</v>
      </c>
      <c r="V5" s="79">
        <f>'Income Statement'!V30</f>
        <v>67083842.245923042</v>
      </c>
      <c r="W5" s="79">
        <f>'Income Statement'!W30</f>
        <v>71444291.991908044</v>
      </c>
      <c r="X5" s="87">
        <f t="shared" ref="X5:X15" si="0">SUM(C5:W5)</f>
        <v>33854883899.272137</v>
      </c>
    </row>
    <row r="6" spans="1:24" ht="15" customHeight="1" x14ac:dyDescent="0.2">
      <c r="A6" s="22" t="s">
        <v>565</v>
      </c>
      <c r="B6" s="4" t="s">
        <v>88</v>
      </c>
      <c r="C6" s="79">
        <f>-'Income Statement'!C19</f>
        <v>0</v>
      </c>
      <c r="D6" s="79">
        <f>-'Income Statement'!D19</f>
        <v>92000000</v>
      </c>
      <c r="E6" s="79">
        <f>-'Income Statement'!E19</f>
        <v>92000000</v>
      </c>
      <c r="F6" s="79">
        <f>-'Income Statement'!F19</f>
        <v>92000000</v>
      </c>
      <c r="G6" s="79">
        <f>-'Income Statement'!G19</f>
        <v>92900000</v>
      </c>
      <c r="H6" s="79">
        <f>-'Income Statement'!H19</f>
        <v>93800000</v>
      </c>
      <c r="I6" s="79">
        <f>-'Income Statement'!I19</f>
        <v>103700000</v>
      </c>
      <c r="J6" s="79">
        <f>-'Income Statement'!J19</f>
        <v>104600000</v>
      </c>
      <c r="K6" s="79">
        <f>-'Income Statement'!K19</f>
        <v>105500000</v>
      </c>
      <c r="L6" s="79">
        <f>-'Income Statement'!L19</f>
        <v>106400000</v>
      </c>
      <c r="M6" s="79">
        <f>-'Income Statement'!M19</f>
        <v>107300000</v>
      </c>
      <c r="N6" s="79">
        <f>-'Income Statement'!N19</f>
        <v>0</v>
      </c>
      <c r="O6" s="79">
        <f>-'Income Statement'!O19</f>
        <v>0</v>
      </c>
      <c r="P6" s="79">
        <f>-'Income Statement'!P19</f>
        <v>0</v>
      </c>
      <c r="Q6" s="79">
        <f>-'Income Statement'!Q19</f>
        <v>0</v>
      </c>
      <c r="R6" s="79">
        <f>-'Income Statement'!R19</f>
        <v>0</v>
      </c>
      <c r="S6" s="79">
        <f>-'Income Statement'!S19</f>
        <v>0</v>
      </c>
      <c r="T6" s="79">
        <f>-'Income Statement'!T19</f>
        <v>0</v>
      </c>
      <c r="U6" s="79">
        <f>-'Income Statement'!U19</f>
        <v>0</v>
      </c>
      <c r="V6" s="79">
        <f>-'Income Statement'!V19</f>
        <v>0</v>
      </c>
      <c r="W6" s="79">
        <f>-'Income Statement'!W19</f>
        <v>0</v>
      </c>
      <c r="X6" s="87">
        <f t="shared" si="0"/>
        <v>990200000</v>
      </c>
    </row>
    <row r="7" spans="1:24" ht="15" customHeight="1" x14ac:dyDescent="0.2">
      <c r="A7" s="22" t="s">
        <v>566</v>
      </c>
      <c r="B7" s="4" t="s">
        <v>88</v>
      </c>
      <c r="C7" s="79">
        <f>-'Income Statement'!C29</f>
        <v>248400000.00000003</v>
      </c>
      <c r="D7" s="79">
        <f>-'Income Statement'!D29</f>
        <v>-24840000.00000003</v>
      </c>
      <c r="E7" s="79">
        <f>-'Income Statement'!E29</f>
        <v>-24840000</v>
      </c>
      <c r="F7" s="79">
        <f>-'Income Statement'!F29</f>
        <v>-22410000</v>
      </c>
      <c r="G7" s="79">
        <f>-'Income Statement'!G29</f>
        <v>-22653000</v>
      </c>
      <c r="H7" s="79">
        <f>-'Income Statement'!H29</f>
        <v>1404000</v>
      </c>
      <c r="I7" s="79">
        <f>-'Income Statement'!I29</f>
        <v>-25568999.999999985</v>
      </c>
      <c r="J7" s="79">
        <f>-'Income Statement'!J29</f>
        <v>-25812000.000000015</v>
      </c>
      <c r="K7" s="79">
        <f>-'Income Statement'!K29</f>
        <v>-26055000</v>
      </c>
      <c r="L7" s="79">
        <f>-'Income Statement'!L29</f>
        <v>-26298000</v>
      </c>
      <c r="M7" s="79">
        <f>-'Income Statement'!M29</f>
        <v>-26541000</v>
      </c>
      <c r="N7" s="79">
        <f>-'Income Statement'!N29</f>
        <v>0</v>
      </c>
      <c r="O7" s="79">
        <f>-'Income Statement'!O29</f>
        <v>0</v>
      </c>
      <c r="P7" s="79">
        <f>-'Income Statement'!P29</f>
        <v>0</v>
      </c>
      <c r="Q7" s="79">
        <f>-'Income Statement'!Q29</f>
        <v>0</v>
      </c>
      <c r="R7" s="79">
        <f>-'Income Statement'!R29</f>
        <v>0</v>
      </c>
      <c r="S7" s="79">
        <f>-'Income Statement'!S29</f>
        <v>0</v>
      </c>
      <c r="T7" s="79">
        <f>-'Income Statement'!T29</f>
        <v>0</v>
      </c>
      <c r="U7" s="79">
        <f>-'Income Statement'!U29</f>
        <v>0</v>
      </c>
      <c r="V7" s="79">
        <f>-'Income Statement'!V29</f>
        <v>0</v>
      </c>
      <c r="W7" s="79">
        <f>-'Income Statement'!W29</f>
        <v>0</v>
      </c>
      <c r="X7" s="87">
        <f t="shared" si="0"/>
        <v>24786000</v>
      </c>
    </row>
    <row r="8" spans="1:24" ht="15" customHeight="1" x14ac:dyDescent="0.2">
      <c r="A8" s="22" t="s">
        <v>567</v>
      </c>
      <c r="B8" s="4" t="s">
        <v>88</v>
      </c>
      <c r="C8" s="79">
        <f>-'Income Statement'!C22</f>
        <v>0</v>
      </c>
      <c r="D8" s="79">
        <f>-'Income Statement'!D22</f>
        <v>0</v>
      </c>
      <c r="E8" s="79">
        <f>-'Income Statement'!E22</f>
        <v>0</v>
      </c>
      <c r="F8" s="79">
        <f>-'Income Statement'!F22</f>
        <v>0</v>
      </c>
      <c r="G8" s="79">
        <f>-'Income Statement'!G22</f>
        <v>0</v>
      </c>
      <c r="H8" s="79">
        <f>-'Income Statement'!H22</f>
        <v>0</v>
      </c>
      <c r="I8" s="79">
        <f>-'Income Statement'!I22</f>
        <v>0</v>
      </c>
      <c r="J8" s="79">
        <f>-'Income Statement'!J22</f>
        <v>0</v>
      </c>
      <c r="K8" s="79">
        <f>-'Income Statement'!K22</f>
        <v>0</v>
      </c>
      <c r="L8" s="79">
        <f>-'Income Statement'!L22</f>
        <v>0</v>
      </c>
      <c r="M8" s="79">
        <f>-'Income Statement'!M22</f>
        <v>5300000</v>
      </c>
      <c r="N8" s="79">
        <f>-'Income Statement'!N22</f>
        <v>0</v>
      </c>
      <c r="O8" s="79">
        <f>-'Income Statement'!O22</f>
        <v>0</v>
      </c>
      <c r="P8" s="79">
        <f>-'Income Statement'!P22</f>
        <v>0</v>
      </c>
      <c r="Q8" s="79">
        <f>-'Income Statement'!Q22</f>
        <v>0</v>
      </c>
      <c r="R8" s="79">
        <f>-'Income Statement'!R22</f>
        <v>0</v>
      </c>
      <c r="S8" s="79">
        <f>-'Income Statement'!S22</f>
        <v>0</v>
      </c>
      <c r="T8" s="79">
        <f>-'Income Statement'!T22</f>
        <v>0</v>
      </c>
      <c r="U8" s="79">
        <f>-'Income Statement'!U22</f>
        <v>0</v>
      </c>
      <c r="V8" s="79">
        <f>-'Income Statement'!V22</f>
        <v>0</v>
      </c>
      <c r="W8" s="79">
        <f>-'Income Statement'!W22</f>
        <v>0</v>
      </c>
      <c r="X8" s="87">
        <f t="shared" si="0"/>
        <v>5300000</v>
      </c>
    </row>
    <row r="9" spans="1:24" ht="15" customHeight="1" x14ac:dyDescent="0.2">
      <c r="A9" s="22" t="s">
        <v>568</v>
      </c>
      <c r="B9" s="4" t="s">
        <v>88</v>
      </c>
      <c r="C9" s="63">
        <f>-1*'Balance Sheet'!C6</f>
        <v>0</v>
      </c>
      <c r="D9" s="63">
        <f>-1*('Balance Sheet'!D6-'Balance Sheet'!C6)</f>
        <v>-472980976.65417111</v>
      </c>
      <c r="E9" s="63">
        <f>-1*('Balance Sheet'!E6-'Balance Sheet'!D6)</f>
        <v>-510004895.54816532</v>
      </c>
      <c r="F9" s="63">
        <f>-1*('Balance Sheet'!F6-'Balance Sheet'!E6)</f>
        <v>-307920324.46738183</v>
      </c>
      <c r="G9" s="63">
        <f>-1*('Balance Sheet'!G6-'Balance Sheet'!F6)</f>
        <v>-65319853.551487684</v>
      </c>
      <c r="H9" s="63">
        <f>-1*('Balance Sheet'!H6-'Balance Sheet'!G6)</f>
        <v>350448811.37715948</v>
      </c>
      <c r="I9" s="63">
        <f>-1*('Balance Sheet'!I6-'Balance Sheet'!H6)</f>
        <v>-491171314.58949029</v>
      </c>
      <c r="J9" s="63">
        <f>-1*('Balance Sheet'!J6-'Balance Sheet'!I6)</f>
        <v>-75745596.803736925</v>
      </c>
      <c r="K9" s="63">
        <f>-1*('Balance Sheet'!K6-'Balance Sheet'!J6)</f>
        <v>-79578324.002005816</v>
      </c>
      <c r="L9" s="63">
        <f>-1*('Balance Sheet'!L6-'Balance Sheet'!K6)</f>
        <v>-83604987.196507454</v>
      </c>
      <c r="M9" s="63">
        <f>-1*('Balance Sheet'!M6-'Balance Sheet'!L6)</f>
        <v>1360407166.5272262</v>
      </c>
      <c r="N9" s="63">
        <f>-1*('Balance Sheet'!N6-'Balance Sheet'!M6)</f>
        <v>375470294.90856069</v>
      </c>
      <c r="O9" s="63">
        <f>-1*('Balance Sheet'!O6-'Balance Sheet'!N6)</f>
        <v>0</v>
      </c>
      <c r="P9" s="63">
        <f>-1*('Balance Sheet'!P6-'Balance Sheet'!O6)</f>
        <v>0</v>
      </c>
      <c r="Q9" s="63">
        <f>-1*('Balance Sheet'!Q6-'Balance Sheet'!P6)</f>
        <v>0</v>
      </c>
      <c r="R9" s="63">
        <f>-1*('Balance Sheet'!R6-'Balance Sheet'!Q6)</f>
        <v>0</v>
      </c>
      <c r="S9" s="63">
        <f>-1*('Balance Sheet'!S6-'Balance Sheet'!R6)</f>
        <v>0</v>
      </c>
      <c r="T9" s="63">
        <f>-1*('Balance Sheet'!T6-'Balance Sheet'!S6)</f>
        <v>0</v>
      </c>
      <c r="U9" s="63">
        <f>-1*('Balance Sheet'!U6-'Balance Sheet'!T6)</f>
        <v>0</v>
      </c>
      <c r="V9" s="63">
        <f>-1*('Balance Sheet'!V6-'Balance Sheet'!U6)</f>
        <v>0</v>
      </c>
      <c r="W9" s="63">
        <f>-1*('Balance Sheet'!W6-'Balance Sheet'!V6)</f>
        <v>0</v>
      </c>
      <c r="X9" s="87">
        <f t="shared" si="0"/>
        <v>-5.9604644775390625E-8</v>
      </c>
    </row>
    <row r="10" spans="1:24" ht="15" customHeight="1" x14ac:dyDescent="0.2">
      <c r="A10" s="22" t="s">
        <v>569</v>
      </c>
      <c r="B10" s="4" t="s">
        <v>88</v>
      </c>
      <c r="C10" s="63">
        <f>-1*'Balance Sheet'!C7</f>
        <v>0</v>
      </c>
      <c r="D10" s="63">
        <f>-1*('Balance Sheet'!D7-'Balance Sheet'!C7)</f>
        <v>-281287117.80821919</v>
      </c>
      <c r="E10" s="63">
        <f>-1*('Balance Sheet'!E7-'Balance Sheet'!D7)</f>
        <v>-296739702.33968222</v>
      </c>
      <c r="F10" s="63">
        <f>-1*('Balance Sheet'!F7-'Balance Sheet'!E7)</f>
        <v>-172541005.81414855</v>
      </c>
      <c r="G10" s="63">
        <f>-1*('Balance Sheet'!G7-'Balance Sheet'!F7)</f>
        <v>-29122031.647327423</v>
      </c>
      <c r="H10" s="63">
        <f>-1*('Balance Sheet'!H7-'Balance Sheet'!G7)</f>
        <v>207966217.0790565</v>
      </c>
      <c r="I10" s="63">
        <f>-1*('Balance Sheet'!I7-'Balance Sheet'!H7)</f>
        <v>-269643926.32878351</v>
      </c>
      <c r="J10" s="63">
        <f>-1*('Balance Sheet'!J7-'Balance Sheet'!I7)</f>
        <v>-32645061.594133496</v>
      </c>
      <c r="K10" s="63">
        <f>-1*('Balance Sheet'!K7-'Balance Sheet'!J7)</f>
        <v>-33911689.983985662</v>
      </c>
      <c r="L10" s="63">
        <f>-1*('Balance Sheet'!L7-'Balance Sheet'!K7)</f>
        <v>-35227463.555364251</v>
      </c>
      <c r="M10" s="63">
        <f>-1*('Balance Sheet'!M7-'Balance Sheet'!L7)</f>
        <v>741439355.58266723</v>
      </c>
      <c r="N10" s="63">
        <f>-1*('Balance Sheet'!N7-'Balance Sheet'!M7)</f>
        <v>201712426.40992054</v>
      </c>
      <c r="O10" s="63">
        <f>-1*('Balance Sheet'!O7-'Balance Sheet'!N7)</f>
        <v>0</v>
      </c>
      <c r="P10" s="63">
        <f>-1*('Balance Sheet'!P7-'Balance Sheet'!O7)</f>
        <v>0</v>
      </c>
      <c r="Q10" s="63">
        <f>-1*('Balance Sheet'!Q7-'Balance Sheet'!P7)</f>
        <v>0</v>
      </c>
      <c r="R10" s="63">
        <f>-1*('Balance Sheet'!R7-'Balance Sheet'!Q7)</f>
        <v>0</v>
      </c>
      <c r="S10" s="63">
        <f>-1*('Balance Sheet'!S7-'Balance Sheet'!R7)</f>
        <v>0</v>
      </c>
      <c r="T10" s="63">
        <f>-1*('Balance Sheet'!T7-'Balance Sheet'!S7)</f>
        <v>0</v>
      </c>
      <c r="U10" s="63">
        <f>-1*('Balance Sheet'!U7-'Balance Sheet'!T7)</f>
        <v>0</v>
      </c>
      <c r="V10" s="63">
        <f>-1*('Balance Sheet'!V7-'Balance Sheet'!U7)</f>
        <v>0</v>
      </c>
      <c r="W10" s="63">
        <f>-1*('Balance Sheet'!W7-'Balance Sheet'!V7)</f>
        <v>0</v>
      </c>
      <c r="X10" s="87">
        <f t="shared" si="0"/>
        <v>-2.9802322387695312E-8</v>
      </c>
    </row>
    <row r="11" spans="1:24" ht="15" customHeight="1" x14ac:dyDescent="0.2">
      <c r="A11" s="22" t="s">
        <v>570</v>
      </c>
      <c r="B11" s="4" t="s">
        <v>88</v>
      </c>
      <c r="C11" s="63">
        <f>-1*'Balance Sheet'!C8</f>
        <v>0</v>
      </c>
      <c r="D11" s="63">
        <f>-1*('Balance Sheet'!D8-'Balance Sheet'!C8)</f>
        <v>-52553441.850463457</v>
      </c>
      <c r="E11" s="63">
        <f>-1*('Balance Sheet'!E8-'Balance Sheet'!D8)</f>
        <v>-56667210.616462819</v>
      </c>
      <c r="F11" s="63">
        <f>-1*('Balance Sheet'!F8-'Balance Sheet'!E8)</f>
        <v>-34213369.385264635</v>
      </c>
      <c r="G11" s="63">
        <f>-1*('Balance Sheet'!G8-'Balance Sheet'!F8)</f>
        <v>-7257761.5057208836</v>
      </c>
      <c r="H11" s="63">
        <f>-1*('Balance Sheet'!H8-'Balance Sheet'!G8)</f>
        <v>38938756.819684386</v>
      </c>
      <c r="I11" s="63">
        <f>-1*('Balance Sheet'!I8-'Balance Sheet'!H8)</f>
        <v>-54574590.509943336</v>
      </c>
      <c r="J11" s="63">
        <f>-1*('Balance Sheet'!J8-'Balance Sheet'!I8)</f>
        <v>-8416177.4226374328</v>
      </c>
      <c r="K11" s="63">
        <f>-1*('Balance Sheet'!K8-'Balance Sheet'!J8)</f>
        <v>-8842036.0002228916</v>
      </c>
      <c r="L11" s="63">
        <f>-1*('Balance Sheet'!L8-'Balance Sheet'!K8)</f>
        <v>-9289443.0218341649</v>
      </c>
      <c r="M11" s="63">
        <f>-1*('Balance Sheet'!M8-'Balance Sheet'!L8)</f>
        <v>151156351.83635849</v>
      </c>
      <c r="N11" s="63">
        <f>-1*('Balance Sheet'!N8-'Balance Sheet'!M8)</f>
        <v>41718921.65650674</v>
      </c>
      <c r="O11" s="63">
        <f>-1*('Balance Sheet'!O8-'Balance Sheet'!N8)</f>
        <v>0</v>
      </c>
      <c r="P11" s="63">
        <f>-1*('Balance Sheet'!P8-'Balance Sheet'!O8)</f>
        <v>0</v>
      </c>
      <c r="Q11" s="63">
        <f>-1*('Balance Sheet'!Q8-'Balance Sheet'!P8)</f>
        <v>0</v>
      </c>
      <c r="R11" s="63">
        <f>-1*('Balance Sheet'!R8-'Balance Sheet'!Q8)</f>
        <v>0</v>
      </c>
      <c r="S11" s="63">
        <f>-1*('Balance Sheet'!S8-'Balance Sheet'!R8)</f>
        <v>0</v>
      </c>
      <c r="T11" s="63">
        <f>-1*('Balance Sheet'!T8-'Balance Sheet'!S8)</f>
        <v>0</v>
      </c>
      <c r="U11" s="63">
        <f>-1*('Balance Sheet'!U8-'Balance Sheet'!T8)</f>
        <v>0</v>
      </c>
      <c r="V11" s="63">
        <f>-1*('Balance Sheet'!V8-'Balance Sheet'!U8)</f>
        <v>0</v>
      </c>
      <c r="W11" s="63">
        <f>-1*('Balance Sheet'!W8-'Balance Sheet'!V8)</f>
        <v>0</v>
      </c>
      <c r="X11" s="87">
        <f t="shared" si="0"/>
        <v>-7.4505805969238281E-9</v>
      </c>
    </row>
    <row r="12" spans="1:24" ht="15" customHeight="1" x14ac:dyDescent="0.2">
      <c r="A12" s="22" t="s">
        <v>571</v>
      </c>
      <c r="B12" s="4" t="s">
        <v>88</v>
      </c>
      <c r="C12" s="79">
        <f>1*'Balance Sheet'!C15</f>
        <v>0</v>
      </c>
      <c r="D12" s="79">
        <f>1*('Balance Sheet'!D15-'Balance Sheet'!C15)</f>
        <v>140643558.9041096</v>
      </c>
      <c r="E12" s="79">
        <f>1*('Balance Sheet'!E15-'Balance Sheet'!D15)</f>
        <v>148369851.16984111</v>
      </c>
      <c r="F12" s="79">
        <f>1*('Balance Sheet'!F15-'Balance Sheet'!E15)</f>
        <v>86270502.907074273</v>
      </c>
      <c r="G12" s="79">
        <f>1*('Balance Sheet'!G15-'Balance Sheet'!F15)</f>
        <v>14561015.823663712</v>
      </c>
      <c r="H12" s="79">
        <f>1*('Balance Sheet'!H15-'Balance Sheet'!G15)</f>
        <v>-103983108.53952825</v>
      </c>
      <c r="I12" s="79">
        <f>1*('Balance Sheet'!I15-'Balance Sheet'!H15)</f>
        <v>134821963.16439176</v>
      </c>
      <c r="J12" s="79">
        <f>1*('Balance Sheet'!J15-'Balance Sheet'!I15)</f>
        <v>16322530.797066748</v>
      </c>
      <c r="K12" s="79">
        <f>1*('Balance Sheet'!K15-'Balance Sheet'!J15)</f>
        <v>16955844.991992831</v>
      </c>
      <c r="L12" s="79">
        <f>1*('Balance Sheet'!L15-'Balance Sheet'!K15)</f>
        <v>17613731.777682126</v>
      </c>
      <c r="M12" s="79">
        <f>1*('Balance Sheet'!M15-'Balance Sheet'!L15)</f>
        <v>-370719677.79133362</v>
      </c>
      <c r="N12" s="79">
        <f>1*('Balance Sheet'!N15-'Balance Sheet'!M15)</f>
        <v>-100856213.20496027</v>
      </c>
      <c r="O12" s="79">
        <f>1*('Balance Sheet'!O15-'Balance Sheet'!N15)</f>
        <v>0</v>
      </c>
      <c r="P12" s="79">
        <f>1*('Balance Sheet'!P15-'Balance Sheet'!O15)</f>
        <v>0</v>
      </c>
      <c r="Q12" s="79">
        <f>1*('Balance Sheet'!Q15-'Balance Sheet'!P15)</f>
        <v>0</v>
      </c>
      <c r="R12" s="79">
        <f>1*('Balance Sheet'!R15-'Balance Sheet'!Q15)</f>
        <v>0</v>
      </c>
      <c r="S12" s="79">
        <f>1*('Balance Sheet'!S15-'Balance Sheet'!R15)</f>
        <v>0</v>
      </c>
      <c r="T12" s="79">
        <f>1*('Balance Sheet'!T15-'Balance Sheet'!S15)</f>
        <v>0</v>
      </c>
      <c r="U12" s="79">
        <f>1*('Balance Sheet'!U15-'Balance Sheet'!T15)</f>
        <v>0</v>
      </c>
      <c r="V12" s="79">
        <f>1*('Balance Sheet'!V15-'Balance Sheet'!U15)</f>
        <v>0</v>
      </c>
      <c r="W12" s="79">
        <f>1*('Balance Sheet'!W15-'Balance Sheet'!V15)</f>
        <v>0</v>
      </c>
      <c r="X12" s="87">
        <f t="shared" si="0"/>
        <v>1.4901161193847656E-8</v>
      </c>
    </row>
    <row r="13" spans="1:24" ht="15" customHeight="1" x14ac:dyDescent="0.2">
      <c r="A13" s="22" t="s">
        <v>572</v>
      </c>
      <c r="B13" s="4" t="s">
        <v>88</v>
      </c>
      <c r="C13" s="79">
        <f>1*'Balance Sheet'!C16</f>
        <v>0</v>
      </c>
      <c r="D13" s="79">
        <f>1*('Balance Sheet'!D16-'Balance Sheet'!C16)</f>
        <v>31532065.110278081</v>
      </c>
      <c r="E13" s="79">
        <f>1*('Balance Sheet'!E16-'Balance Sheet'!D16)</f>
        <v>34000326.369877681</v>
      </c>
      <c r="F13" s="79">
        <f>1*('Balance Sheet'!F16-'Balance Sheet'!E16)</f>
        <v>20528021.631158769</v>
      </c>
      <c r="G13" s="79">
        <f>1*('Balance Sheet'!G16-'Balance Sheet'!F16)</f>
        <v>4354656.9034325331</v>
      </c>
      <c r="H13" s="79">
        <f>1*('Balance Sheet'!H16-'Balance Sheet'!G16)</f>
        <v>-23363254.091810629</v>
      </c>
      <c r="I13" s="79">
        <f>1*('Balance Sheet'!I16-'Balance Sheet'!H16)</f>
        <v>32744754.305966005</v>
      </c>
      <c r="J13" s="79">
        <f>1*('Balance Sheet'!J16-'Balance Sheet'!I16)</f>
        <v>5049706.4535824656</v>
      </c>
      <c r="K13" s="79">
        <f>1*('Balance Sheet'!K16-'Balance Sheet'!J16)</f>
        <v>5305221.6001337171</v>
      </c>
      <c r="L13" s="79">
        <f>1*('Balance Sheet'!L16-'Balance Sheet'!K16)</f>
        <v>5573665.8131005019</v>
      </c>
      <c r="M13" s="79">
        <f>1*('Balance Sheet'!M16-'Balance Sheet'!L16)</f>
        <v>-90693811.101815075</v>
      </c>
      <c r="N13" s="79">
        <f>1*('Balance Sheet'!N16-'Balance Sheet'!M16)</f>
        <v>-25031352.993904047</v>
      </c>
      <c r="O13" s="79">
        <f>1*('Balance Sheet'!O16-'Balance Sheet'!N16)</f>
        <v>0</v>
      </c>
      <c r="P13" s="79">
        <f>1*('Balance Sheet'!P16-'Balance Sheet'!O16)</f>
        <v>0</v>
      </c>
      <c r="Q13" s="79">
        <f>1*('Balance Sheet'!Q16-'Balance Sheet'!P16)</f>
        <v>0</v>
      </c>
      <c r="R13" s="79">
        <f>1*('Balance Sheet'!R16-'Balance Sheet'!Q16)</f>
        <v>0</v>
      </c>
      <c r="S13" s="79">
        <f>1*('Balance Sheet'!S16-'Balance Sheet'!R16)</f>
        <v>0</v>
      </c>
      <c r="T13" s="79">
        <f>1*('Balance Sheet'!T16-'Balance Sheet'!S16)</f>
        <v>0</v>
      </c>
      <c r="U13" s="79">
        <f>1*('Balance Sheet'!U16-'Balance Sheet'!T16)</f>
        <v>0</v>
      </c>
      <c r="V13" s="79">
        <f>1*('Balance Sheet'!V16-'Balance Sheet'!U16)</f>
        <v>0</v>
      </c>
      <c r="W13" s="79">
        <f>1*('Balance Sheet'!W16-'Balance Sheet'!V16)</f>
        <v>0</v>
      </c>
      <c r="X13" s="87">
        <f t="shared" si="0"/>
        <v>7.4505805969238281E-9</v>
      </c>
    </row>
    <row r="14" spans="1:24" ht="15" customHeight="1" x14ac:dyDescent="0.2">
      <c r="A14" s="22" t="s">
        <v>573</v>
      </c>
      <c r="B14" s="4" t="s">
        <v>88</v>
      </c>
      <c r="C14" s="79">
        <f>-('Balance Sheet'!C10)</f>
        <v>0</v>
      </c>
      <c r="D14" s="79">
        <f>-('Balance Sheet'!D10-'Balance Sheet'!C10)</f>
        <v>-12000000</v>
      </c>
      <c r="E14" s="79">
        <f>-('Balance Sheet'!E10-'Balance Sheet'!D10)</f>
        <v>-12840000</v>
      </c>
      <c r="F14" s="79">
        <f>-('Balance Sheet'!F10-'Balance Sheet'!E10)</f>
        <v>-13738800</v>
      </c>
      <c r="G14" s="79">
        <f>-('Balance Sheet'!G10-'Balance Sheet'!F10)</f>
        <v>-14700516</v>
      </c>
      <c r="H14" s="79">
        <f>-('Balance Sheet'!H10-'Balance Sheet'!G10)</f>
        <v>-15729552.120000005</v>
      </c>
      <c r="I14" s="79">
        <f>-('Balance Sheet'!I10-'Balance Sheet'!H10)</f>
        <v>-16830620.768399999</v>
      </c>
      <c r="J14" s="79">
        <f>-('Balance Sheet'!J10-'Balance Sheet'!I10)</f>
        <v>-18008764.222188011</v>
      </c>
      <c r="K14" s="79">
        <f>-('Balance Sheet'!K10-'Balance Sheet'!J10)</f>
        <v>-19269377.717741162</v>
      </c>
      <c r="L14" s="79">
        <f>-('Balance Sheet'!L10-'Balance Sheet'!K10)</f>
        <v>-20618234.157983035</v>
      </c>
      <c r="M14" s="79">
        <f>-('Balance Sheet'!M10-'Balance Sheet'!L10)</f>
        <v>-22061510.549041867</v>
      </c>
      <c r="N14" s="79">
        <f>-('Balance Sheet'!N10-'Balance Sheet'!M10)</f>
        <v>165797375.53535408</v>
      </c>
      <c r="O14" s="79">
        <f>-('Balance Sheet'!O10-'Balance Sheet'!N10)</f>
        <v>0</v>
      </c>
      <c r="P14" s="79">
        <f>-('Balance Sheet'!P10-'Balance Sheet'!O10)</f>
        <v>0</v>
      </c>
      <c r="Q14" s="79">
        <f>-('Balance Sheet'!Q10-'Balance Sheet'!P10)</f>
        <v>0</v>
      </c>
      <c r="R14" s="79">
        <f>-('Balance Sheet'!R10-'Balance Sheet'!Q10)</f>
        <v>0</v>
      </c>
      <c r="S14" s="79">
        <f>-('Balance Sheet'!S10-'Balance Sheet'!R10)</f>
        <v>0</v>
      </c>
      <c r="T14" s="79">
        <f>-('Balance Sheet'!T10-'Balance Sheet'!S10)</f>
        <v>0</v>
      </c>
      <c r="U14" s="79">
        <f>-('Balance Sheet'!U10-'Balance Sheet'!T10)</f>
        <v>0</v>
      </c>
      <c r="V14" s="79">
        <f>-('Balance Sheet'!V10-'Balance Sheet'!U10)</f>
        <v>0</v>
      </c>
      <c r="W14" s="79">
        <f>-('Balance Sheet'!W10-'Balance Sheet'!V10)</f>
        <v>0</v>
      </c>
      <c r="X14" s="87">
        <f t="shared" si="0"/>
        <v>0</v>
      </c>
    </row>
    <row r="15" spans="1:24" ht="15" customHeight="1" x14ac:dyDescent="0.2">
      <c r="A15" s="97" t="s">
        <v>574</v>
      </c>
      <c r="B15" s="70" t="s">
        <v>88</v>
      </c>
      <c r="C15" s="101">
        <f t="shared" ref="C15:W15" si="1">SUM(C5:C14)</f>
        <v>0</v>
      </c>
      <c r="D15" s="101">
        <f t="shared" si="1"/>
        <v>910837711.63989472</v>
      </c>
      <c r="E15" s="101">
        <f t="shared" si="1"/>
        <v>1983857146.4070272</v>
      </c>
      <c r="F15" s="101">
        <f t="shared" si="1"/>
        <v>3151832013.8974252</v>
      </c>
      <c r="G15" s="101">
        <f t="shared" si="1"/>
        <v>3697112963.7791142</v>
      </c>
      <c r="H15" s="101">
        <f t="shared" si="1"/>
        <v>3313039158.9720016</v>
      </c>
      <c r="I15" s="101">
        <f t="shared" si="1"/>
        <v>3630937566.1224227</v>
      </c>
      <c r="J15" s="101">
        <f t="shared" si="1"/>
        <v>4443698734.2236938</v>
      </c>
      <c r="K15" s="101">
        <f t="shared" si="1"/>
        <v>4713981612.7896576</v>
      </c>
      <c r="L15" s="101">
        <f t="shared" si="1"/>
        <v>4999378309.1947422</v>
      </c>
      <c r="M15" s="101">
        <f t="shared" si="1"/>
        <v>2864907436.5325928</v>
      </c>
      <c r="N15" s="101">
        <f t="shared" si="1"/>
        <v>659136452.31147766</v>
      </c>
      <c r="O15" s="101">
        <f t="shared" si="1"/>
        <v>43168869.400246039</v>
      </c>
      <c r="P15" s="101">
        <f t="shared" si="1"/>
        <v>45974845.911262035</v>
      </c>
      <c r="Q15" s="101">
        <f t="shared" si="1"/>
        <v>48963210.895494066</v>
      </c>
      <c r="R15" s="101">
        <f t="shared" si="1"/>
        <v>52145819.603701182</v>
      </c>
      <c r="S15" s="101">
        <f t="shared" si="1"/>
        <v>55535297.877941765</v>
      </c>
      <c r="T15" s="101">
        <f t="shared" si="1"/>
        <v>59145092.240007974</v>
      </c>
      <c r="U15" s="101">
        <f t="shared" si="1"/>
        <v>62989523.235608496</v>
      </c>
      <c r="V15" s="101">
        <f t="shared" si="1"/>
        <v>67083842.245923042</v>
      </c>
      <c r="W15" s="101">
        <f t="shared" si="1"/>
        <v>71444291.991908044</v>
      </c>
      <c r="X15" s="90">
        <f t="shared" si="0"/>
        <v>34875169899.272141</v>
      </c>
    </row>
    <row r="16" spans="1:24" ht="15" customHeight="1" x14ac:dyDescent="0.2">
      <c r="A16" s="27" t="s">
        <v>575</v>
      </c>
      <c r="B16" s="58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58"/>
    </row>
    <row r="17" spans="1:24" ht="15" customHeight="1" x14ac:dyDescent="0.2">
      <c r="A17" s="22" t="s">
        <v>525</v>
      </c>
      <c r="B17" s="4" t="s">
        <v>88</v>
      </c>
      <c r="C17" s="79">
        <f>-Exploration!C5</f>
        <v>-55000000</v>
      </c>
      <c r="D17" s="79">
        <f>-Exploration!D5</f>
        <v>0</v>
      </c>
      <c r="E17" s="79">
        <f>-Exploration!E5</f>
        <v>0</v>
      </c>
      <c r="F17" s="79">
        <f>-Exploration!F5</f>
        <v>0</v>
      </c>
      <c r="G17" s="79">
        <f>-Exploration!G5</f>
        <v>0</v>
      </c>
      <c r="H17" s="79">
        <f>-Exploration!H5</f>
        <v>0</v>
      </c>
      <c r="I17" s="79">
        <f>-Exploration!I5</f>
        <v>0</v>
      </c>
      <c r="J17" s="79">
        <f>-Exploration!J5</f>
        <v>0</v>
      </c>
      <c r="K17" s="79">
        <f>-Exploration!K5</f>
        <v>0</v>
      </c>
      <c r="L17" s="79">
        <f>-Exploration!L5</f>
        <v>0</v>
      </c>
      <c r="M17" s="79">
        <f>-Exploration!M5</f>
        <v>0</v>
      </c>
      <c r="N17" s="79">
        <f>-Exploration!N5</f>
        <v>0</v>
      </c>
      <c r="O17" s="79">
        <f>-Exploration!O5</f>
        <v>0</v>
      </c>
      <c r="P17" s="79">
        <f>-Exploration!P5</f>
        <v>0</v>
      </c>
      <c r="Q17" s="79">
        <f>-Exploration!Q5</f>
        <v>0</v>
      </c>
      <c r="R17" s="79">
        <f>-Exploration!R5</f>
        <v>0</v>
      </c>
      <c r="S17" s="79">
        <f>-Exploration!S5</f>
        <v>0</v>
      </c>
      <c r="T17" s="79">
        <f>-Exploration!T5</f>
        <v>0</v>
      </c>
      <c r="U17" s="79">
        <f>-Exploration!U5</f>
        <v>0</v>
      </c>
      <c r="V17" s="79">
        <f>-Exploration!V5</f>
        <v>0</v>
      </c>
      <c r="W17" s="79">
        <f>-Exploration!W5</f>
        <v>0</v>
      </c>
      <c r="X17" s="87">
        <f>SUM(C17:W17)</f>
        <v>-55000000</v>
      </c>
    </row>
    <row r="18" spans="1:24" ht="15" customHeight="1" x14ac:dyDescent="0.2">
      <c r="A18" s="22" t="s">
        <v>576</v>
      </c>
      <c r="B18" s="4" t="s">
        <v>88</v>
      </c>
      <c r="C18" s="79">
        <f>-'Fixed Assets'!C8</f>
        <v>-865000000</v>
      </c>
      <c r="D18" s="79">
        <f>-'Fixed Assets'!D8</f>
        <v>0</v>
      </c>
      <c r="E18" s="79">
        <f>-'Fixed Assets'!E8</f>
        <v>0</v>
      </c>
      <c r="F18" s="79">
        <f>-'Fixed Assets'!F8</f>
        <v>-9000000</v>
      </c>
      <c r="G18" s="79">
        <f>-'Fixed Assets'!G8</f>
        <v>-9000000</v>
      </c>
      <c r="H18" s="79">
        <f>-'Fixed Assets'!H8</f>
        <v>-99000000</v>
      </c>
      <c r="I18" s="79">
        <f>-'Fixed Assets'!I8</f>
        <v>-9000000</v>
      </c>
      <c r="J18" s="79">
        <f>-'Fixed Assets'!J8</f>
        <v>-9000000</v>
      </c>
      <c r="K18" s="79">
        <f>-'Fixed Assets'!K8</f>
        <v>-9000000</v>
      </c>
      <c r="L18" s="79">
        <f>-'Fixed Assets'!L8</f>
        <v>-9000000</v>
      </c>
      <c r="M18" s="79">
        <f>-'Fixed Assets'!M8</f>
        <v>-9000000</v>
      </c>
      <c r="N18" s="79">
        <f>-'Fixed Assets'!N8</f>
        <v>0</v>
      </c>
      <c r="O18" s="79">
        <f>-'Fixed Assets'!O8</f>
        <v>0</v>
      </c>
      <c r="P18" s="79">
        <f>-'Fixed Assets'!P8</f>
        <v>0</v>
      </c>
      <c r="Q18" s="79">
        <f>-'Fixed Assets'!Q8</f>
        <v>0</v>
      </c>
      <c r="R18" s="79">
        <f>-'Fixed Assets'!R8</f>
        <v>0</v>
      </c>
      <c r="S18" s="79">
        <f>-'Fixed Assets'!S8</f>
        <v>0</v>
      </c>
      <c r="T18" s="79">
        <f>-'Fixed Assets'!T8</f>
        <v>0</v>
      </c>
      <c r="U18" s="79">
        <f>-'Fixed Assets'!U8</f>
        <v>0</v>
      </c>
      <c r="V18" s="79">
        <f>-'Fixed Assets'!V8</f>
        <v>0</v>
      </c>
      <c r="W18" s="79">
        <f>-'Fixed Assets'!W8</f>
        <v>0</v>
      </c>
      <c r="X18" s="87">
        <f>SUM(C18:W18)</f>
        <v>-1027000000</v>
      </c>
    </row>
    <row r="19" spans="1:24" ht="15" customHeight="1" x14ac:dyDescent="0.2">
      <c r="A19" s="22" t="s">
        <v>577</v>
      </c>
      <c r="B19" s="4" t="s">
        <v>88</v>
      </c>
      <c r="C19" s="79">
        <f>'Fixed Assets'!C36</f>
        <v>0</v>
      </c>
      <c r="D19" s="79">
        <f>'Fixed Assets'!D36</f>
        <v>0</v>
      </c>
      <c r="E19" s="79">
        <f>'Fixed Assets'!E36</f>
        <v>0</v>
      </c>
      <c r="F19" s="79">
        <f>'Fixed Assets'!F36</f>
        <v>0</v>
      </c>
      <c r="G19" s="79">
        <f>'Fixed Assets'!G36</f>
        <v>0</v>
      </c>
      <c r="H19" s="79">
        <f>'Fixed Assets'!H36</f>
        <v>0</v>
      </c>
      <c r="I19" s="79">
        <f>'Fixed Assets'!I36</f>
        <v>0</v>
      </c>
      <c r="J19" s="79">
        <f>'Fixed Assets'!J36</f>
        <v>0</v>
      </c>
      <c r="K19" s="79">
        <f>'Fixed Assets'!K36</f>
        <v>0</v>
      </c>
      <c r="L19" s="79">
        <f>'Fixed Assets'!L36</f>
        <v>0</v>
      </c>
      <c r="M19" s="79">
        <f>'Fixed Assets'!M36</f>
        <v>86500000</v>
      </c>
      <c r="N19" s="79">
        <f>'Fixed Assets'!N36</f>
        <v>0</v>
      </c>
      <c r="O19" s="79">
        <f>'Fixed Assets'!O36</f>
        <v>0</v>
      </c>
      <c r="P19" s="79">
        <f>'Fixed Assets'!P36</f>
        <v>0</v>
      </c>
      <c r="Q19" s="79">
        <f>'Fixed Assets'!Q36</f>
        <v>0</v>
      </c>
      <c r="R19" s="79">
        <f>'Fixed Assets'!R36</f>
        <v>0</v>
      </c>
      <c r="S19" s="79">
        <f>'Fixed Assets'!S36</f>
        <v>0</v>
      </c>
      <c r="T19" s="79">
        <f>'Fixed Assets'!T36</f>
        <v>0</v>
      </c>
      <c r="U19" s="79">
        <f>'Fixed Assets'!U36</f>
        <v>0</v>
      </c>
      <c r="V19" s="79">
        <f>'Fixed Assets'!V36</f>
        <v>0</v>
      </c>
      <c r="W19" s="79">
        <f>'Fixed Assets'!W36</f>
        <v>0</v>
      </c>
      <c r="X19" s="87">
        <f>SUM(C19:W19)</f>
        <v>86500000</v>
      </c>
    </row>
    <row r="20" spans="1:24" ht="15" customHeight="1" x14ac:dyDescent="0.2">
      <c r="A20" s="97" t="s">
        <v>578</v>
      </c>
      <c r="B20" s="70" t="s">
        <v>88</v>
      </c>
      <c r="C20" s="101">
        <f t="shared" ref="C20:W20" si="2">SUM(C17:C19)</f>
        <v>-920000000</v>
      </c>
      <c r="D20" s="101">
        <f t="shared" si="2"/>
        <v>0</v>
      </c>
      <c r="E20" s="101">
        <f t="shared" si="2"/>
        <v>0</v>
      </c>
      <c r="F20" s="101">
        <f t="shared" si="2"/>
        <v>-9000000</v>
      </c>
      <c r="G20" s="101">
        <f t="shared" si="2"/>
        <v>-9000000</v>
      </c>
      <c r="H20" s="101">
        <f t="shared" si="2"/>
        <v>-99000000</v>
      </c>
      <c r="I20" s="101">
        <f t="shared" si="2"/>
        <v>-9000000</v>
      </c>
      <c r="J20" s="101">
        <f t="shared" si="2"/>
        <v>-9000000</v>
      </c>
      <c r="K20" s="101">
        <f t="shared" si="2"/>
        <v>-9000000</v>
      </c>
      <c r="L20" s="101">
        <f t="shared" si="2"/>
        <v>-9000000</v>
      </c>
      <c r="M20" s="101">
        <f t="shared" si="2"/>
        <v>77500000</v>
      </c>
      <c r="N20" s="101">
        <f t="shared" si="2"/>
        <v>0</v>
      </c>
      <c r="O20" s="101">
        <f t="shared" si="2"/>
        <v>0</v>
      </c>
      <c r="P20" s="101">
        <f t="shared" si="2"/>
        <v>0</v>
      </c>
      <c r="Q20" s="101">
        <f t="shared" si="2"/>
        <v>0</v>
      </c>
      <c r="R20" s="101">
        <f t="shared" si="2"/>
        <v>0</v>
      </c>
      <c r="S20" s="101">
        <f t="shared" si="2"/>
        <v>0</v>
      </c>
      <c r="T20" s="101">
        <f t="shared" si="2"/>
        <v>0</v>
      </c>
      <c r="U20" s="101">
        <f t="shared" si="2"/>
        <v>0</v>
      </c>
      <c r="V20" s="101">
        <f t="shared" si="2"/>
        <v>0</v>
      </c>
      <c r="W20" s="101">
        <f t="shared" si="2"/>
        <v>0</v>
      </c>
      <c r="X20" s="90">
        <f>SUM(C20:W20)</f>
        <v>-995500000</v>
      </c>
    </row>
    <row r="21" spans="1:24" ht="15" customHeight="1" x14ac:dyDescent="0.2">
      <c r="A21" s="111" t="s">
        <v>579</v>
      </c>
      <c r="B21" s="58" t="s">
        <v>88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</row>
    <row r="22" spans="1:24" ht="15" customHeight="1" x14ac:dyDescent="0.2">
      <c r="A22" s="22" t="s">
        <v>580</v>
      </c>
      <c r="B22" s="4" t="s">
        <v>88</v>
      </c>
      <c r="C22" s="79">
        <f>'Debt Schedule'!C15</f>
        <v>542000000</v>
      </c>
      <c r="D22" s="79">
        <f>'Debt Schedule'!D15</f>
        <v>0</v>
      </c>
      <c r="E22" s="79">
        <f>'Debt Schedule'!E15</f>
        <v>0</v>
      </c>
      <c r="F22" s="79">
        <f>'Debt Schedule'!F15</f>
        <v>0</v>
      </c>
      <c r="G22" s="79">
        <f>'Debt Schedule'!G15</f>
        <v>0</v>
      </c>
      <c r="H22" s="79">
        <f>'Debt Schedule'!H15</f>
        <v>0</v>
      </c>
      <c r="I22" s="79">
        <f>'Debt Schedule'!I15</f>
        <v>0</v>
      </c>
      <c r="J22" s="79">
        <f>'Debt Schedule'!J15</f>
        <v>0</v>
      </c>
      <c r="K22" s="79">
        <f>'Debt Schedule'!K15</f>
        <v>0</v>
      </c>
      <c r="L22" s="79">
        <f>'Debt Schedule'!L15</f>
        <v>0</v>
      </c>
      <c r="M22" s="79">
        <f>'Debt Schedule'!M15</f>
        <v>0</v>
      </c>
      <c r="N22" s="79">
        <f>'Debt Schedule'!N15</f>
        <v>0</v>
      </c>
      <c r="O22" s="79">
        <f>'Debt Schedule'!O15</f>
        <v>0</v>
      </c>
      <c r="P22" s="79">
        <f>'Debt Schedule'!P15</f>
        <v>0</v>
      </c>
      <c r="Q22" s="79">
        <f>'Debt Schedule'!Q15</f>
        <v>0</v>
      </c>
      <c r="R22" s="79">
        <f>'Debt Schedule'!R15</f>
        <v>0</v>
      </c>
      <c r="S22" s="79">
        <f>'Debt Schedule'!S15</f>
        <v>0</v>
      </c>
      <c r="T22" s="79">
        <f>'Debt Schedule'!T15</f>
        <v>0</v>
      </c>
      <c r="U22" s="79">
        <f>'Debt Schedule'!U15</f>
        <v>0</v>
      </c>
      <c r="V22" s="79">
        <f>'Debt Schedule'!V15</f>
        <v>0</v>
      </c>
      <c r="W22" s="79">
        <f>'Debt Schedule'!W15</f>
        <v>0</v>
      </c>
      <c r="X22" s="87">
        <f t="shared" ref="X22:X29" si="3">SUM(C22:W22)</f>
        <v>542000000</v>
      </c>
    </row>
    <row r="23" spans="1:24" ht="15" customHeight="1" x14ac:dyDescent="0.2">
      <c r="A23" s="22" t="s">
        <v>581</v>
      </c>
      <c r="B23" s="4" t="s">
        <v>88</v>
      </c>
      <c r="C23" s="79">
        <f>'Debt Schedule'!C20</f>
        <v>0</v>
      </c>
      <c r="D23" s="79">
        <f>'Debt Schedule'!D20</f>
        <v>0</v>
      </c>
      <c r="E23" s="79">
        <f>'Debt Schedule'!E20</f>
        <v>-48392857.142857142</v>
      </c>
      <c r="F23" s="79">
        <f>'Debt Schedule'!F20</f>
        <v>-48392857.142857142</v>
      </c>
      <c r="G23" s="79">
        <f>'Debt Schedule'!G20</f>
        <v>-48392857.142857142</v>
      </c>
      <c r="H23" s="79">
        <f>'Debt Schedule'!H20</f>
        <v>-251642857.14285713</v>
      </c>
      <c r="I23" s="79">
        <f>'Debt Schedule'!I20</f>
        <v>-48392857.142857142</v>
      </c>
      <c r="J23" s="79">
        <f>'Debt Schedule'!J20</f>
        <v>-48392857.142857142</v>
      </c>
      <c r="K23" s="79">
        <f>'Debt Schedule'!K20</f>
        <v>-48392857.142857142</v>
      </c>
      <c r="L23" s="79">
        <f>'Debt Schedule'!L20</f>
        <v>0</v>
      </c>
      <c r="M23" s="79">
        <f>'Debt Schedule'!M20</f>
        <v>0</v>
      </c>
      <c r="N23" s="79">
        <f>'Debt Schedule'!N20</f>
        <v>0</v>
      </c>
      <c r="O23" s="79">
        <f>'Debt Schedule'!O20</f>
        <v>0</v>
      </c>
      <c r="P23" s="79">
        <f>'Debt Schedule'!P20</f>
        <v>0</v>
      </c>
      <c r="Q23" s="79">
        <f>'Debt Schedule'!Q20</f>
        <v>0</v>
      </c>
      <c r="R23" s="79">
        <f>'Debt Schedule'!R20</f>
        <v>0</v>
      </c>
      <c r="S23" s="79">
        <f>'Debt Schedule'!S20</f>
        <v>0</v>
      </c>
      <c r="T23" s="79">
        <f>'Debt Schedule'!T20</f>
        <v>0</v>
      </c>
      <c r="U23" s="79">
        <f>'Debt Schedule'!U20</f>
        <v>0</v>
      </c>
      <c r="V23" s="79">
        <f>'Debt Schedule'!V20</f>
        <v>0</v>
      </c>
      <c r="W23" s="79">
        <f>'Debt Schedule'!W20</f>
        <v>0</v>
      </c>
      <c r="X23" s="87">
        <f t="shared" si="3"/>
        <v>-542000000</v>
      </c>
    </row>
    <row r="24" spans="1:24" ht="15" customHeight="1" x14ac:dyDescent="0.2">
      <c r="A24" s="112" t="s">
        <v>582</v>
      </c>
      <c r="B24" s="4" t="s">
        <v>88</v>
      </c>
      <c r="C24" s="79">
        <f>'Income Statement'!C23</f>
        <v>0</v>
      </c>
      <c r="D24" s="79">
        <f>'Income Statement'!D23</f>
        <v>-60636250</v>
      </c>
      <c r="E24" s="79">
        <f>'Income Statement'!E23</f>
        <v>-60636250</v>
      </c>
      <c r="F24" s="79">
        <f>'Income Statement'!F23</f>
        <v>-56038928.571428575</v>
      </c>
      <c r="G24" s="79">
        <f>'Income Statement'!G23</f>
        <v>-51441607.142857149</v>
      </c>
      <c r="H24" s="79">
        <f>'Income Statement'!H23</f>
        <v>-46844285.714285716</v>
      </c>
      <c r="I24" s="79">
        <f>'Income Statement'!I23</f>
        <v>-13791964.285714289</v>
      </c>
      <c r="J24" s="79">
        <f>'Income Statement'!J23</f>
        <v>-9194642.8571428619</v>
      </c>
      <c r="K24" s="79">
        <f>'Income Statement'!K23</f>
        <v>-4597321.4285714328</v>
      </c>
      <c r="L24" s="79">
        <f>'Income Statement'!L23</f>
        <v>-4.2468309402465825E-9</v>
      </c>
      <c r="M24" s="79">
        <f>'Income Statement'!M23</f>
        <v>-4.2468309402465825E-9</v>
      </c>
      <c r="N24" s="79">
        <f>'Income Statement'!N23</f>
        <v>-4.2468309402465825E-9</v>
      </c>
      <c r="O24" s="79">
        <f>'Income Statement'!O23</f>
        <v>-4.2468309402465825E-9</v>
      </c>
      <c r="P24" s="79">
        <f>'Income Statement'!P23</f>
        <v>-4.2468309402465825E-9</v>
      </c>
      <c r="Q24" s="79">
        <f>'Income Statement'!Q23</f>
        <v>-4.2468309402465825E-9</v>
      </c>
      <c r="R24" s="79">
        <f>'Income Statement'!R23</f>
        <v>-4.2468309402465825E-9</v>
      </c>
      <c r="S24" s="79">
        <f>'Income Statement'!S23</f>
        <v>-4.2468309402465825E-9</v>
      </c>
      <c r="T24" s="79">
        <f>'Income Statement'!T23</f>
        <v>-4.2468309402465825E-9</v>
      </c>
      <c r="U24" s="79">
        <f>'Income Statement'!U23</f>
        <v>-4.2468309402465825E-9</v>
      </c>
      <c r="V24" s="79">
        <f>'Income Statement'!V23</f>
        <v>-4.2468309402465825E-9</v>
      </c>
      <c r="W24" s="79">
        <f>'Income Statement'!W23</f>
        <v>-4.2468309402465825E-9</v>
      </c>
      <c r="X24" s="65">
        <f t="shared" si="3"/>
        <v>-303181250</v>
      </c>
    </row>
    <row r="25" spans="1:24" ht="15" customHeight="1" x14ac:dyDescent="0.2">
      <c r="A25" s="22" t="s">
        <v>583</v>
      </c>
      <c r="B25" s="4" t="s">
        <v>88</v>
      </c>
      <c r="C25" s="79">
        <f>Assumptions!F21</f>
        <v>813000000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87">
        <f t="shared" si="3"/>
        <v>813000000</v>
      </c>
    </row>
    <row r="26" spans="1:24" ht="15" customHeight="1" x14ac:dyDescent="0.2">
      <c r="A26" s="22" t="s">
        <v>584</v>
      </c>
      <c r="B26" s="4" t="s">
        <v>88</v>
      </c>
      <c r="C26" s="63">
        <v>0</v>
      </c>
      <c r="D26" s="63">
        <f>MAX(0,(D32+D15+D20+D22+D23+D25-Assumptions!E43)/(1+Assumptions!E15))</f>
        <v>1117364759.6999123</v>
      </c>
      <c r="E26" s="63">
        <f>MAX(0,(E32+E15+E20+E22+E23+E25-Assumptions!E43)/(1+Assumptions!E15))</f>
        <v>1612886907.7201419</v>
      </c>
      <c r="F26" s="63">
        <f>MAX(0,(F32+F15+F20+F22+F23+F25-Assumptions!E43)/(1+Assumptions!E15))</f>
        <v>2578699297.2954736</v>
      </c>
      <c r="G26" s="63">
        <f>MAX(0,(G32+G15+G20+G22+G23+G25-Assumptions!E43)/(1+Assumptions!E15))</f>
        <v>3033100088.8635478</v>
      </c>
      <c r="H26" s="63">
        <f>MAX(0,(H32+H15+H20+H22+H23+H25-Assumptions!E43)/(1+Assumptions!E15))</f>
        <v>2468663584.8576207</v>
      </c>
      <c r="I26" s="63">
        <f>MAX(0,(I32+I15+I20+I22+I23+I25-Assumptions!E43)/(1+Assumptions!E15))</f>
        <v>2977953924.1496382</v>
      </c>
      <c r="J26" s="63">
        <f>MAX(0,(J32+J15+J20+J22+J23+J25-Assumptions!E43)/(1+Assumptions!E15))</f>
        <v>3655254897.5673637</v>
      </c>
      <c r="K26" s="63">
        <f>MAX(0,(K32+K15+K20+K22+K23+K25-Assumptions!E43)/(1+Assumptions!E15))</f>
        <v>3880490629.705667</v>
      </c>
      <c r="L26" s="63">
        <f>MAX(0,(L32+L15+L20+L22+L23+L25-Assumptions!E43)/(1+Assumptions!E15))</f>
        <v>4158648590.9956188</v>
      </c>
      <c r="M26" s="63">
        <f>MAX(0,(M32+M15+M20+M22+M23+M25-Assumptions!E43)/(1+Assumptions!E15))</f>
        <v>2452006197.1104941</v>
      </c>
      <c r="N26" s="63">
        <f>MAX(0,(N32+N15+N20+N22+N23+N25-Assumptions!E43)/(1+Assumptions!E15))</f>
        <v>549280376.92623138</v>
      </c>
      <c r="O26" s="63">
        <f>MAX(0,(O32+O15+O20+O22+O23+O25-Assumptions!E43)/(1+Assumptions!E15))</f>
        <v>585254434.7597698</v>
      </c>
      <c r="P26" s="63">
        <f>MAX(0,(P32+P15+P20+P22+P23+P25-Assumptions!E43)/(1+Assumptions!E15))</f>
        <v>623566806.35248816</v>
      </c>
      <c r="Q26" s="63">
        <f>MAX(0,(Q32+Q15+Q20+Q22+Q23+Q25-Assumptions!E43)/(1+Assumptions!E15))</f>
        <v>664369482.09873319</v>
      </c>
      <c r="R26" s="63">
        <f>MAX(0,(R32+R15+R20+R22+R23+R25-Assumptions!E43)/(1+Assumptions!E15))</f>
        <v>707824331.76848423</v>
      </c>
      <c r="S26" s="63">
        <f>MAX(0,(S32+S15+S20+S22+S23+S25-Assumptions!E43)/(1+Assumptions!E15))</f>
        <v>754103746.66676903</v>
      </c>
      <c r="T26" s="63">
        <f>MAX(0,(T32+T15+T20+T22+T23+T25-Assumptions!E43)/(1+Assumptions!E15))</f>
        <v>803391323.53344238</v>
      </c>
      <c r="U26" s="63">
        <f>MAX(0,(U32+U15+U20+U22+U23+U25-Assumptions!E43)/(1+Assumptions!E15))</f>
        <v>855882592.89644945</v>
      </c>
      <c r="V26" s="63">
        <f>MAX(0,(V32+V15+V20+V22+V23+V25-Assumptions!E43)/(1+Assumptions!E15))</f>
        <v>911785794.76805198</v>
      </c>
      <c r="W26" s="63">
        <f>MAX(0,(W32+W15+W20+W22+W23+W25-Assumptions!E43)/(1+Assumptions!E15))</f>
        <v>971322704.76130867</v>
      </c>
      <c r="X26" s="87">
        <f t="shared" si="3"/>
        <v>35361850472.4972</v>
      </c>
    </row>
    <row r="27" spans="1:24" ht="15" customHeight="1" x14ac:dyDescent="0.2">
      <c r="A27" s="22" t="s">
        <v>585</v>
      </c>
      <c r="B27" s="4" t="s">
        <v>88</v>
      </c>
      <c r="C27" s="63">
        <v>0</v>
      </c>
      <c r="D27" s="63">
        <f t="shared" ref="D27:W27" si="4">IF(AND(D38="PASS",D26&gt;0),-D26,0)</f>
        <v>-1117364759.6999123</v>
      </c>
      <c r="E27" s="63">
        <f t="shared" si="4"/>
        <v>-1612886907.7201419</v>
      </c>
      <c r="F27" s="63">
        <f t="shared" si="4"/>
        <v>-2578699297.2954736</v>
      </c>
      <c r="G27" s="63">
        <f t="shared" si="4"/>
        <v>-3033100088.8635478</v>
      </c>
      <c r="H27" s="63">
        <f t="shared" si="4"/>
        <v>-2468663584.8576207</v>
      </c>
      <c r="I27" s="63">
        <f t="shared" si="4"/>
        <v>-2977953924.1496382</v>
      </c>
      <c r="J27" s="63">
        <f t="shared" si="4"/>
        <v>-3655254897.5673637</v>
      </c>
      <c r="K27" s="63">
        <f t="shared" si="4"/>
        <v>-3880490629.705667</v>
      </c>
      <c r="L27" s="63">
        <f t="shared" si="4"/>
        <v>-4158648590.9956188</v>
      </c>
      <c r="M27" s="63">
        <f t="shared" si="4"/>
        <v>-2452006197.1104941</v>
      </c>
      <c r="N27" s="63">
        <f t="shared" si="4"/>
        <v>0</v>
      </c>
      <c r="O27" s="63">
        <f t="shared" si="4"/>
        <v>0</v>
      </c>
      <c r="P27" s="63">
        <f t="shared" si="4"/>
        <v>0</v>
      </c>
      <c r="Q27" s="63">
        <f t="shared" si="4"/>
        <v>0</v>
      </c>
      <c r="R27" s="63">
        <f t="shared" si="4"/>
        <v>0</v>
      </c>
      <c r="S27" s="63">
        <f t="shared" si="4"/>
        <v>0</v>
      </c>
      <c r="T27" s="63">
        <f t="shared" si="4"/>
        <v>0</v>
      </c>
      <c r="U27" s="63">
        <f t="shared" si="4"/>
        <v>0</v>
      </c>
      <c r="V27" s="63">
        <f t="shared" si="4"/>
        <v>0</v>
      </c>
      <c r="W27" s="63">
        <f t="shared" si="4"/>
        <v>0</v>
      </c>
      <c r="X27" s="87">
        <f t="shared" si="3"/>
        <v>-27935068877.965473</v>
      </c>
    </row>
    <row r="28" spans="1:24" ht="15" customHeight="1" x14ac:dyDescent="0.2">
      <c r="A28" s="22" t="s">
        <v>71</v>
      </c>
      <c r="B28" s="4" t="s">
        <v>88</v>
      </c>
      <c r="C28" s="79">
        <f>IF(C27&lt;0,C27*Assumptions!E15,0)</f>
        <v>0</v>
      </c>
      <c r="D28" s="79">
        <f>IF(D27&lt;0,D27*Assumptions!E15,0)</f>
        <v>-223472951.93998247</v>
      </c>
      <c r="E28" s="79">
        <f>IF(E27&lt;0,E27*Assumptions!E15,0)</f>
        <v>-322577381.5440284</v>
      </c>
      <c r="F28" s="79">
        <f>IF(F27&lt;0,F27*Assumptions!E15,0)</f>
        <v>-515739859.45909476</v>
      </c>
      <c r="G28" s="79">
        <f>IF(G27&lt;0,G27*Assumptions!E15,0)</f>
        <v>-606620017.77270961</v>
      </c>
      <c r="H28" s="79">
        <f>IF(H27&lt;0,H27*Assumptions!E15,0)</f>
        <v>-493732716.97152418</v>
      </c>
      <c r="I28" s="79">
        <f>IF(I27&lt;0,I27*Assumptions!E15,0)</f>
        <v>-595590784.82992768</v>
      </c>
      <c r="J28" s="79">
        <f>IF(J27&lt;0,J27*Assumptions!E15,0)</f>
        <v>-731050979.5134728</v>
      </c>
      <c r="K28" s="79">
        <f>IF(K27&lt;0,K27*Assumptions!E15,0)</f>
        <v>-776098125.9411335</v>
      </c>
      <c r="L28" s="79">
        <f>IF(L27&lt;0,L27*Assumptions!E15,0)</f>
        <v>-831729718.19912386</v>
      </c>
      <c r="M28" s="79">
        <f>IF(M27&lt;0,M27*Assumptions!E15,0)</f>
        <v>-490401239.42209888</v>
      </c>
      <c r="N28" s="79">
        <f>IF(N27&lt;0,N27*Assumptions!E15,0)</f>
        <v>0</v>
      </c>
      <c r="O28" s="79">
        <f>IF(O27&lt;0,O27*Assumptions!E15,0)</f>
        <v>0</v>
      </c>
      <c r="P28" s="79">
        <f>IF(P27&lt;0,P27*Assumptions!E15,0)</f>
        <v>0</v>
      </c>
      <c r="Q28" s="79">
        <f>IF(Q27&lt;0,Q27*Assumptions!E15,0)</f>
        <v>0</v>
      </c>
      <c r="R28" s="79">
        <f>IF(R27&lt;0,R27*Assumptions!E15,0)</f>
        <v>0</v>
      </c>
      <c r="S28" s="79">
        <f>IF(S27&lt;0,S27*Assumptions!E15,0)</f>
        <v>0</v>
      </c>
      <c r="T28" s="79">
        <f>IF(T27&lt;0,T27*Assumptions!E15,0)</f>
        <v>0</v>
      </c>
      <c r="U28" s="79">
        <f>IF(U27&lt;0,U27*Assumptions!E15,0)</f>
        <v>0</v>
      </c>
      <c r="V28" s="79">
        <f>IF(V27&lt;0,V27*Assumptions!E15,0)</f>
        <v>0</v>
      </c>
      <c r="W28" s="79">
        <f>IF(W27&lt;0,W27*Assumptions!E15,0)</f>
        <v>0</v>
      </c>
      <c r="X28" s="87">
        <f t="shared" si="3"/>
        <v>-5587013775.5930967</v>
      </c>
    </row>
    <row r="29" spans="1:24" ht="15" customHeight="1" x14ac:dyDescent="0.2">
      <c r="A29" s="97" t="s">
        <v>586</v>
      </c>
      <c r="B29" s="70" t="s">
        <v>88</v>
      </c>
      <c r="C29" s="98">
        <f t="shared" ref="C29:W29" si="5">C22+C23+C25+C27+C28</f>
        <v>1355000000</v>
      </c>
      <c r="D29" s="98">
        <f t="shared" si="5"/>
        <v>-1340837711.6398947</v>
      </c>
      <c r="E29" s="98">
        <f t="shared" si="5"/>
        <v>-1983857146.4070272</v>
      </c>
      <c r="F29" s="98">
        <f t="shared" si="5"/>
        <v>-3142832013.8974257</v>
      </c>
      <c r="G29" s="98">
        <f t="shared" si="5"/>
        <v>-3688112963.7791147</v>
      </c>
      <c r="H29" s="98">
        <f t="shared" si="5"/>
        <v>-3214039158.972002</v>
      </c>
      <c r="I29" s="98">
        <f t="shared" si="5"/>
        <v>-3621937566.1224232</v>
      </c>
      <c r="J29" s="98">
        <f t="shared" si="5"/>
        <v>-4434698734.2236938</v>
      </c>
      <c r="K29" s="98">
        <f t="shared" si="5"/>
        <v>-4704981612.7896576</v>
      </c>
      <c r="L29" s="98">
        <f t="shared" si="5"/>
        <v>-4990378309.1947422</v>
      </c>
      <c r="M29" s="98">
        <f t="shared" si="5"/>
        <v>-2942407436.5325928</v>
      </c>
      <c r="N29" s="98">
        <f t="shared" si="5"/>
        <v>0</v>
      </c>
      <c r="O29" s="98">
        <f t="shared" si="5"/>
        <v>0</v>
      </c>
      <c r="P29" s="98">
        <f t="shared" si="5"/>
        <v>0</v>
      </c>
      <c r="Q29" s="98">
        <f t="shared" si="5"/>
        <v>0</v>
      </c>
      <c r="R29" s="98">
        <f t="shared" si="5"/>
        <v>0</v>
      </c>
      <c r="S29" s="98">
        <f t="shared" si="5"/>
        <v>0</v>
      </c>
      <c r="T29" s="98">
        <f t="shared" si="5"/>
        <v>0</v>
      </c>
      <c r="U29" s="98">
        <f t="shared" si="5"/>
        <v>0</v>
      </c>
      <c r="V29" s="98">
        <f t="shared" si="5"/>
        <v>0</v>
      </c>
      <c r="W29" s="98">
        <f t="shared" si="5"/>
        <v>0</v>
      </c>
      <c r="X29" s="90">
        <f t="shared" si="3"/>
        <v>-32709082653.558571</v>
      </c>
    </row>
    <row r="30" spans="1:24" ht="15" customHeight="1" x14ac:dyDescent="0.2">
      <c r="A30" s="17"/>
      <c r="B30" s="17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17"/>
    </row>
    <row r="31" spans="1:24" ht="15" customHeight="1" x14ac:dyDescent="0.2">
      <c r="A31" s="22" t="s">
        <v>587</v>
      </c>
      <c r="B31" s="4" t="s">
        <v>88</v>
      </c>
      <c r="C31" s="63">
        <f t="shared" ref="C31:W31" si="6">C15+C20+C29</f>
        <v>435000000</v>
      </c>
      <c r="D31" s="63">
        <f t="shared" si="6"/>
        <v>-430000000</v>
      </c>
      <c r="E31" s="63">
        <f t="shared" si="6"/>
        <v>0</v>
      </c>
      <c r="F31" s="63">
        <f t="shared" si="6"/>
        <v>0</v>
      </c>
      <c r="G31" s="63">
        <f t="shared" si="6"/>
        <v>0</v>
      </c>
      <c r="H31" s="63">
        <f t="shared" si="6"/>
        <v>0</v>
      </c>
      <c r="I31" s="63">
        <f t="shared" si="6"/>
        <v>0</v>
      </c>
      <c r="J31" s="63">
        <f t="shared" si="6"/>
        <v>0</v>
      </c>
      <c r="K31" s="63">
        <f t="shared" si="6"/>
        <v>0</v>
      </c>
      <c r="L31" s="63">
        <f t="shared" si="6"/>
        <v>0</v>
      </c>
      <c r="M31" s="63">
        <f t="shared" si="6"/>
        <v>0</v>
      </c>
      <c r="N31" s="63">
        <f t="shared" si="6"/>
        <v>659136452.31147766</v>
      </c>
      <c r="O31" s="63">
        <f t="shared" si="6"/>
        <v>43168869.400246039</v>
      </c>
      <c r="P31" s="63">
        <f t="shared" si="6"/>
        <v>45974845.911262035</v>
      </c>
      <c r="Q31" s="63">
        <f t="shared" si="6"/>
        <v>48963210.895494066</v>
      </c>
      <c r="R31" s="63">
        <f t="shared" si="6"/>
        <v>52145819.603701182</v>
      </c>
      <c r="S31" s="63">
        <f t="shared" si="6"/>
        <v>55535297.877941765</v>
      </c>
      <c r="T31" s="63">
        <f t="shared" si="6"/>
        <v>59145092.240007974</v>
      </c>
      <c r="U31" s="63">
        <f t="shared" si="6"/>
        <v>62989523.235608496</v>
      </c>
      <c r="V31" s="63">
        <f t="shared" si="6"/>
        <v>67083842.245923042</v>
      </c>
      <c r="W31" s="63">
        <f t="shared" si="6"/>
        <v>71444291.991908044</v>
      </c>
      <c r="X31" s="87">
        <f>SUM(C31:W31)</f>
        <v>1170587245.7135704</v>
      </c>
    </row>
    <row r="32" spans="1:24" ht="15" customHeight="1" x14ac:dyDescent="0.2">
      <c r="A32" s="22" t="s">
        <v>588</v>
      </c>
      <c r="B32" s="4" t="s">
        <v>88</v>
      </c>
      <c r="C32" s="63">
        <v>0</v>
      </c>
      <c r="D32" s="63">
        <f t="shared" ref="D32:W32" si="7">C33</f>
        <v>435000000</v>
      </c>
      <c r="E32" s="63">
        <f t="shared" si="7"/>
        <v>5000000</v>
      </c>
      <c r="F32" s="63">
        <f t="shared" si="7"/>
        <v>5000000</v>
      </c>
      <c r="G32" s="63">
        <f t="shared" si="7"/>
        <v>5000000</v>
      </c>
      <c r="H32" s="63">
        <f t="shared" si="7"/>
        <v>5000000</v>
      </c>
      <c r="I32" s="63">
        <f t="shared" si="7"/>
        <v>5000000</v>
      </c>
      <c r="J32" s="63">
        <f t="shared" si="7"/>
        <v>5000000</v>
      </c>
      <c r="K32" s="63">
        <f t="shared" si="7"/>
        <v>5000000</v>
      </c>
      <c r="L32" s="63">
        <f t="shared" si="7"/>
        <v>5000000</v>
      </c>
      <c r="M32" s="63">
        <f t="shared" si="7"/>
        <v>5000000</v>
      </c>
      <c r="N32" s="63">
        <f t="shared" si="7"/>
        <v>5000000</v>
      </c>
      <c r="O32" s="63">
        <f t="shared" si="7"/>
        <v>664136452.31147766</v>
      </c>
      <c r="P32" s="63">
        <f t="shared" si="7"/>
        <v>707305321.71172369</v>
      </c>
      <c r="Q32" s="63">
        <f t="shared" si="7"/>
        <v>753280167.62298572</v>
      </c>
      <c r="R32" s="63">
        <f t="shared" si="7"/>
        <v>802243378.51847982</v>
      </c>
      <c r="S32" s="63">
        <f t="shared" si="7"/>
        <v>854389198.12218106</v>
      </c>
      <c r="T32" s="63">
        <f t="shared" si="7"/>
        <v>909924496.00012279</v>
      </c>
      <c r="U32" s="63">
        <f t="shared" si="7"/>
        <v>969069588.24013078</v>
      </c>
      <c r="V32" s="63">
        <f t="shared" si="7"/>
        <v>1032059111.4757392</v>
      </c>
      <c r="W32" s="63">
        <f t="shared" si="7"/>
        <v>1099142953.7216623</v>
      </c>
      <c r="X32" s="17"/>
    </row>
    <row r="33" spans="1:24" ht="15" customHeight="1" x14ac:dyDescent="0.2">
      <c r="A33" s="97" t="s">
        <v>589</v>
      </c>
      <c r="B33" s="70" t="s">
        <v>88</v>
      </c>
      <c r="C33" s="101">
        <f t="shared" ref="C33:W33" si="8">C32+C31</f>
        <v>435000000</v>
      </c>
      <c r="D33" s="101">
        <f t="shared" si="8"/>
        <v>5000000</v>
      </c>
      <c r="E33" s="101">
        <f t="shared" si="8"/>
        <v>5000000</v>
      </c>
      <c r="F33" s="101">
        <f t="shared" si="8"/>
        <v>5000000</v>
      </c>
      <c r="G33" s="101">
        <f t="shared" si="8"/>
        <v>5000000</v>
      </c>
      <c r="H33" s="101">
        <f t="shared" si="8"/>
        <v>5000000</v>
      </c>
      <c r="I33" s="101">
        <f t="shared" si="8"/>
        <v>5000000</v>
      </c>
      <c r="J33" s="101">
        <f t="shared" si="8"/>
        <v>5000000</v>
      </c>
      <c r="K33" s="101">
        <f t="shared" si="8"/>
        <v>5000000</v>
      </c>
      <c r="L33" s="101">
        <f t="shared" si="8"/>
        <v>5000000</v>
      </c>
      <c r="M33" s="101">
        <f t="shared" si="8"/>
        <v>5000000</v>
      </c>
      <c r="N33" s="101">
        <f t="shared" si="8"/>
        <v>664136452.31147766</v>
      </c>
      <c r="O33" s="101">
        <f t="shared" si="8"/>
        <v>707305321.71172369</v>
      </c>
      <c r="P33" s="101">
        <f t="shared" si="8"/>
        <v>753280167.62298572</v>
      </c>
      <c r="Q33" s="101">
        <f t="shared" si="8"/>
        <v>802243378.51847982</v>
      </c>
      <c r="R33" s="101">
        <f t="shared" si="8"/>
        <v>854389198.12218106</v>
      </c>
      <c r="S33" s="101">
        <f t="shared" si="8"/>
        <v>909924496.00012279</v>
      </c>
      <c r="T33" s="101">
        <f t="shared" si="8"/>
        <v>969069588.24013078</v>
      </c>
      <c r="U33" s="101">
        <f t="shared" si="8"/>
        <v>1032059111.4757392</v>
      </c>
      <c r="V33" s="101">
        <f t="shared" si="8"/>
        <v>1099142953.7216623</v>
      </c>
      <c r="W33" s="101">
        <f t="shared" si="8"/>
        <v>1170587245.7135704</v>
      </c>
      <c r="X33" s="108"/>
    </row>
    <row r="34" spans="1:24" ht="15" customHeight="1" x14ac:dyDescent="0.2">
      <c r="A34" s="17"/>
      <c r="B34" s="17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17"/>
    </row>
    <row r="35" spans="1:24" ht="15" customHeight="1" x14ac:dyDescent="0.2">
      <c r="A35" s="27" t="s">
        <v>590</v>
      </c>
      <c r="B35" s="104"/>
      <c r="C35" s="66">
        <f t="shared" ref="C35:W35" si="9">ROUND(C33-C32-C31,0)</f>
        <v>0</v>
      </c>
      <c r="D35" s="66">
        <f t="shared" si="9"/>
        <v>0</v>
      </c>
      <c r="E35" s="66">
        <f t="shared" si="9"/>
        <v>0</v>
      </c>
      <c r="F35" s="66">
        <f t="shared" si="9"/>
        <v>0</v>
      </c>
      <c r="G35" s="66">
        <f t="shared" si="9"/>
        <v>0</v>
      </c>
      <c r="H35" s="66">
        <f t="shared" si="9"/>
        <v>0</v>
      </c>
      <c r="I35" s="66">
        <f t="shared" si="9"/>
        <v>0</v>
      </c>
      <c r="J35" s="66">
        <f t="shared" si="9"/>
        <v>0</v>
      </c>
      <c r="K35" s="66">
        <f t="shared" si="9"/>
        <v>0</v>
      </c>
      <c r="L35" s="66">
        <f t="shared" si="9"/>
        <v>0</v>
      </c>
      <c r="M35" s="66">
        <f t="shared" si="9"/>
        <v>0</v>
      </c>
      <c r="N35" s="66">
        <f t="shared" si="9"/>
        <v>0</v>
      </c>
      <c r="O35" s="66">
        <f t="shared" si="9"/>
        <v>0</v>
      </c>
      <c r="P35" s="66">
        <f t="shared" si="9"/>
        <v>0</v>
      </c>
      <c r="Q35" s="66">
        <f t="shared" si="9"/>
        <v>0</v>
      </c>
      <c r="R35" s="66">
        <f t="shared" si="9"/>
        <v>0</v>
      </c>
      <c r="S35" s="66">
        <f t="shared" si="9"/>
        <v>0</v>
      </c>
      <c r="T35" s="66">
        <f t="shared" si="9"/>
        <v>0</v>
      </c>
      <c r="U35" s="66">
        <f t="shared" si="9"/>
        <v>0</v>
      </c>
      <c r="V35" s="66">
        <f t="shared" si="9"/>
        <v>0</v>
      </c>
      <c r="W35" s="66">
        <f t="shared" si="9"/>
        <v>0</v>
      </c>
      <c r="X35" s="58"/>
    </row>
    <row r="36" spans="1:24" ht="15" customHeight="1" x14ac:dyDescent="0.2">
      <c r="A36" s="22" t="s">
        <v>591</v>
      </c>
      <c r="B36" s="4" t="s">
        <v>343</v>
      </c>
      <c r="C36" s="113" t="str">
        <f>IF(ABS('Debt Schedule'!C10)+ABS('Debt Schedule'!C20)=0,"N/A",'Income Statement'!C17/(ABS('Debt Schedule'!C10)+ABS('Debt Schedule'!C20)))</f>
        <v>N/A</v>
      </c>
      <c r="D36" s="113">
        <f>IF(ABS('Debt Schedule'!D10)+ABS('Debt Schedule'!D20)=0,"N/A",'Income Statement'!D17/(ABS('Debt Schedule'!D10)+ABS('Debt Schedule'!D20)))</f>
        <v>30.648587270808477</v>
      </c>
      <c r="E36" s="113">
        <f>IF(ABS('Debt Schedule'!E10)+ABS('Debt Schedule'!E20)=0,"N/A",'Income Statement'!E17/(ABS('Debt Schedule'!E10)+ABS('Debt Schedule'!E20)))</f>
        <v>36.107882304837496</v>
      </c>
      <c r="F36" s="113">
        <f>IF(ABS('Debt Schedule'!F10)+ABS('Debt Schedule'!F20)=0,"N/A",'Income Statement'!F17/(ABS('Debt Schedule'!F10)+ABS('Debt Schedule'!F20)))</f>
        <v>50.06713108770812</v>
      </c>
      <c r="G36" s="113">
        <f>IF(ABS('Debt Schedule'!G10)+ABS('Debt Schedule'!G20)=0,"N/A",'Income Statement'!G17/(ABS('Debt Schedule'!G10)+ABS('Debt Schedule'!G20)))</f>
        <v>55.560718688672168</v>
      </c>
      <c r="H36" s="113">
        <f>IF(ABS('Debt Schedule'!H10)+ABS('Debt Schedule'!H20)=0,"N/A",'Income Statement'!H17/(ABS('Debt Schedule'!H10)+ABS('Debt Schedule'!H20)))</f>
        <v>13.874629829240144</v>
      </c>
      <c r="I36" s="113">
        <f>IF(ABS('Debt Schedule'!I10)+ABS('Debt Schedule'!I20)=0,"N/A",'Income Statement'!I17/(ABS('Debt Schedule'!I10)+ABS('Debt Schedule'!I20)))</f>
        <v>100.37738330741911</v>
      </c>
      <c r="J36" s="113">
        <f>IF(ABS('Debt Schedule'!J10)+ABS('Debt Schedule'!J20)=0,"N/A",'Income Statement'!J17/(ABS('Debt Schedule'!J10)+ABS('Debt Schedule'!J20)))</f>
        <v>114.94563362174755</v>
      </c>
      <c r="K36" s="113">
        <f>IF(ABS('Debt Schedule'!K10)+ABS('Debt Schedule'!K20)=0,"N/A",'Income Statement'!K17/(ABS('Debt Schedule'!K10)+ABS('Debt Schedule'!K20)))</f>
        <v>132.44612984945425</v>
      </c>
      <c r="L36" s="113">
        <f>IF(ABS('Debt Schedule'!L10)+ABS('Debt Schedule'!L20)=0,"N/A",'Income Statement'!L17/(ABS('Debt Schedule'!L10)+ABS('Debt Schedule'!L20)))</f>
        <v>1.7518619018935181E+18</v>
      </c>
      <c r="M36" s="113">
        <f>IF(ABS('Debt Schedule'!M10)+ABS('Debt Schedule'!M20)=0,"N/A",'Income Statement'!M17/(ABS('Debt Schedule'!M10)+ABS('Debt Schedule'!M20)))</f>
        <v>3.7284174430510554E+17</v>
      </c>
      <c r="N36" s="113">
        <f>IF(ABS('Debt Schedule'!N10)+ABS('Debt Schedule'!N20)=0,"N/A",'Income Statement'!N17/(ABS('Debt Schedule'!N10)+ABS('Debt Schedule'!N20)))</f>
        <v>0</v>
      </c>
      <c r="O36" s="113">
        <f>IF(ABS('Debt Schedule'!O10)+ABS('Debt Schedule'!O20)=0,"N/A",'Income Statement'!O17/(ABS('Debt Schedule'!O10)+ABS('Debt Schedule'!O20)))</f>
        <v>0</v>
      </c>
      <c r="P36" s="113">
        <f>IF(ABS('Debt Schedule'!P10)+ABS('Debt Schedule'!P20)=0,"N/A",'Income Statement'!P17/(ABS('Debt Schedule'!P10)+ABS('Debt Schedule'!P20)))</f>
        <v>0</v>
      </c>
      <c r="Q36" s="113">
        <f>IF(ABS('Debt Schedule'!Q10)+ABS('Debt Schedule'!Q20)=0,"N/A",'Income Statement'!Q17/(ABS('Debt Schedule'!Q10)+ABS('Debt Schedule'!Q20)))</f>
        <v>0</v>
      </c>
      <c r="R36" s="113">
        <f>IF(ABS('Debt Schedule'!R10)+ABS('Debt Schedule'!R20)=0,"N/A",'Income Statement'!R17/(ABS('Debt Schedule'!R10)+ABS('Debt Schedule'!R20)))</f>
        <v>0</v>
      </c>
      <c r="S36" s="113">
        <f>IF(ABS('Debt Schedule'!S10)+ABS('Debt Schedule'!S20)=0,"N/A",'Income Statement'!S17/(ABS('Debt Schedule'!S10)+ABS('Debt Schedule'!S20)))</f>
        <v>0</v>
      </c>
      <c r="T36" s="113">
        <f>IF(ABS('Debt Schedule'!T10)+ABS('Debt Schedule'!T20)=0,"N/A",'Income Statement'!T17/(ABS('Debt Schedule'!T10)+ABS('Debt Schedule'!T20)))</f>
        <v>0</v>
      </c>
      <c r="U36" s="113">
        <f>IF(ABS('Debt Schedule'!U10)+ABS('Debt Schedule'!U20)=0,"N/A",'Income Statement'!U17/(ABS('Debt Schedule'!U10)+ABS('Debt Schedule'!U20)))</f>
        <v>0</v>
      </c>
      <c r="V36" s="113">
        <f>IF(ABS('Debt Schedule'!V10)+ABS('Debt Schedule'!V20)=0,"N/A",'Income Statement'!V17/(ABS('Debt Schedule'!V10)+ABS('Debt Schedule'!V20)))</f>
        <v>0</v>
      </c>
      <c r="W36" s="113">
        <f>IF(ABS('Debt Schedule'!W10)+ABS('Debt Schedule'!W20)=0,"N/A",'Income Statement'!W17/(ABS('Debt Schedule'!W10)+ABS('Debt Schedule'!W20)))</f>
        <v>0</v>
      </c>
      <c r="X36" s="17"/>
    </row>
    <row r="37" spans="1:24" ht="15" customHeight="1" x14ac:dyDescent="0.2">
      <c r="A37" s="22" t="s">
        <v>592</v>
      </c>
      <c r="B37" s="4" t="s">
        <v>343</v>
      </c>
      <c r="C37" s="114" t="str">
        <f>IF('Income Statement'!C17&lt;=0,"N/A",'Debt Schedule'!C25/'Income Statement'!C17)</f>
        <v>N/A</v>
      </c>
      <c r="D37" s="114">
        <f>IF('Income Statement'!D17&lt;=0,"N/A",'Debt Schedule'!D25/'Income Statement'!D17)</f>
        <v>0.29164631332117286</v>
      </c>
      <c r="E37" s="114">
        <f>IF('Income Statement'!E17&lt;=0,"N/A",'Debt Schedule'!E25/'Income Statement'!E17)</f>
        <v>0.12538251064394992</v>
      </c>
      <c r="F37" s="114">
        <f>IF('Income Statement'!F17&lt;=0,"N/A",'Debt Schedule'!F25/'Income Statement'!F17)</f>
        <v>8.5149809470346866E-2</v>
      </c>
      <c r="G37" s="114">
        <f>IF('Income Statement'!G17&lt;=0,"N/A",'Debt Schedule'!G25/'Income Statement'!G17)</f>
        <v>7.1539643171431966E-2</v>
      </c>
      <c r="H37" s="114">
        <f>IF('Income Statement'!H17&lt;=0,"N/A",'Debt Schedule'!H25/'Income Statement'!H17)</f>
        <v>3.5055445005975752E-2</v>
      </c>
      <c r="I37" s="114">
        <f>IF('Income Statement'!I17&lt;=0,"N/A",'Debt Schedule'!I25/'Income Statement'!I17)</f>
        <v>1.550568646222119E-2</v>
      </c>
      <c r="J37" s="114">
        <f>IF('Income Statement'!J17&lt;=0,"N/A",'Debt Schedule'!J25/'Income Statement'!J17)</f>
        <v>7.31072688867054E-3</v>
      </c>
      <c r="K37" s="114">
        <f>IF('Income Statement'!K17&lt;=0,"N/A",'Debt Schedule'!K25/'Income Statement'!K17)</f>
        <v>6.3695200925035709E-18</v>
      </c>
      <c r="L37" s="114">
        <f>IF('Income Statement'!L17&lt;=0,"N/A",'Debt Schedule'!L25/'Income Statement'!L17)</f>
        <v>6.0086447328389333E-18</v>
      </c>
      <c r="M37" s="114">
        <f>IF('Income Statement'!M17&lt;=0,"N/A",'Debt Schedule'!M25/'Income Statement'!M17)</f>
        <v>2.8232664261059087E-17</v>
      </c>
      <c r="N37" s="114" t="str">
        <f>IF('Income Statement'!N17&lt;=0,"N/A",'Debt Schedule'!N25/'Income Statement'!N17)</f>
        <v>N/A</v>
      </c>
      <c r="O37" s="114" t="str">
        <f>IF('Income Statement'!O17&lt;=0,"N/A",'Debt Schedule'!O25/'Income Statement'!O17)</f>
        <v>N/A</v>
      </c>
      <c r="P37" s="114" t="str">
        <f>IF('Income Statement'!P17&lt;=0,"N/A",'Debt Schedule'!P25/'Income Statement'!P17)</f>
        <v>N/A</v>
      </c>
      <c r="Q37" s="114" t="str">
        <f>IF('Income Statement'!Q17&lt;=0,"N/A",'Debt Schedule'!Q25/'Income Statement'!Q17)</f>
        <v>N/A</v>
      </c>
      <c r="R37" s="114" t="str">
        <f>IF('Income Statement'!R17&lt;=0,"N/A",'Debt Schedule'!R25/'Income Statement'!R17)</f>
        <v>N/A</v>
      </c>
      <c r="S37" s="114" t="str">
        <f>IF('Income Statement'!S17&lt;=0,"N/A",'Debt Schedule'!S25/'Income Statement'!S17)</f>
        <v>N/A</v>
      </c>
      <c r="T37" s="114" t="str">
        <f>IF('Income Statement'!T17&lt;=0,"N/A",'Debt Schedule'!T25/'Income Statement'!T17)</f>
        <v>N/A</v>
      </c>
      <c r="U37" s="114" t="str">
        <f>IF('Income Statement'!U17&lt;=0,"N/A",'Debt Schedule'!U25/'Income Statement'!U17)</f>
        <v>N/A</v>
      </c>
      <c r="V37" s="114" t="str">
        <f>IF('Income Statement'!V17&lt;=0,"N/A",'Debt Schedule'!V25/'Income Statement'!V17)</f>
        <v>N/A</v>
      </c>
      <c r="W37" s="114" t="str">
        <f>IF('Income Statement'!W17&lt;=0,"N/A",'Debt Schedule'!W25/'Income Statement'!W17)</f>
        <v>N/A</v>
      </c>
      <c r="X37" s="17"/>
    </row>
    <row r="38" spans="1:24" ht="15" customHeight="1" x14ac:dyDescent="0.2">
      <c r="A38" s="22" t="s">
        <v>593</v>
      </c>
      <c r="B38" s="4"/>
      <c r="C38" s="17" t="str">
        <f>IF('Debt Schedule'!C25=0,"PASS",IF(AND(ISNUMBER(C36),C36&gt;=Assumptions!B104,ISNUMBER(C37),C37&lt;=Assumptions!B105),"PASS","FAIL"))</f>
        <v>FAIL</v>
      </c>
      <c r="D38" s="17" t="str">
        <f>IF('Debt Schedule'!D25=0,"PASS",IF(AND(ISNUMBER(D36),D36&gt;=Assumptions!B104,ISNUMBER(D37),D37&lt;=Assumptions!B105),"PASS","FAIL"))</f>
        <v>PASS</v>
      </c>
      <c r="E38" s="17" t="str">
        <f>IF('Debt Schedule'!E25=0,"PASS",IF(AND(ISNUMBER(E36),E36&gt;=Assumptions!B104,ISNUMBER(E37),E37&lt;=Assumptions!B105),"PASS","FAIL"))</f>
        <v>PASS</v>
      </c>
      <c r="F38" s="17" t="str">
        <f>IF('Debt Schedule'!F25=0,"PASS",IF(AND(ISNUMBER(F36),F36&gt;=Assumptions!B104,ISNUMBER(F37),F37&lt;=Assumptions!B105),"PASS","FAIL"))</f>
        <v>PASS</v>
      </c>
      <c r="G38" s="17" t="str">
        <f>IF('Debt Schedule'!G25=0,"PASS",IF(AND(ISNUMBER(G36),G36&gt;=Assumptions!B104,ISNUMBER(G37),G37&lt;=Assumptions!B105),"PASS","FAIL"))</f>
        <v>PASS</v>
      </c>
      <c r="H38" s="17" t="str">
        <f>IF('Debt Schedule'!H25=0,"PASS",IF(AND(ISNUMBER(H36),H36&gt;=Assumptions!B104,ISNUMBER(H37),H37&lt;=Assumptions!B105),"PASS","FAIL"))</f>
        <v>PASS</v>
      </c>
      <c r="I38" s="17" t="str">
        <f>IF('Debt Schedule'!I25=0,"PASS",IF(AND(ISNUMBER(I36),I36&gt;=Assumptions!B104,ISNUMBER(I37),I37&lt;=Assumptions!B105),"PASS","FAIL"))</f>
        <v>PASS</v>
      </c>
      <c r="J38" s="17" t="str">
        <f>IF('Debt Schedule'!J25=0,"PASS",IF(AND(ISNUMBER(J36),J36&gt;=Assumptions!B104,ISNUMBER(J37),J37&lt;=Assumptions!B105),"PASS","FAIL"))</f>
        <v>PASS</v>
      </c>
      <c r="K38" s="17" t="str">
        <f>IF('Debt Schedule'!K25=0,"PASS",IF(AND(ISNUMBER(K36),K36&gt;=Assumptions!B104,ISNUMBER(K37),K37&lt;=Assumptions!B105),"PASS","FAIL"))</f>
        <v>PASS</v>
      </c>
      <c r="L38" s="17" t="str">
        <f>IF('Debt Schedule'!L25=0,"PASS",IF(AND(ISNUMBER(L36),L36&gt;=Assumptions!B104,ISNUMBER(L37),L37&lt;=Assumptions!B105),"PASS","FAIL"))</f>
        <v>PASS</v>
      </c>
      <c r="M38" s="17" t="str">
        <f>IF('Debt Schedule'!M25=0,"PASS",IF(AND(ISNUMBER(M36),M36&gt;=Assumptions!B104,ISNUMBER(M37),M37&lt;=Assumptions!B105),"PASS","FAIL"))</f>
        <v>PASS</v>
      </c>
      <c r="N38" s="17" t="str">
        <f>IF('Debt Schedule'!N25=0,"PASS",IF(AND(ISNUMBER(N36),N36&gt;=Assumptions!B104,ISNUMBER(N37),N37&lt;=Assumptions!B105),"PASS","FAIL"))</f>
        <v>FAIL</v>
      </c>
      <c r="O38" s="17" t="str">
        <f>IF('Debt Schedule'!O25=0,"PASS",IF(AND(ISNUMBER(O36),O36&gt;=Assumptions!B104,ISNUMBER(O37),O37&lt;=Assumptions!B105),"PASS","FAIL"))</f>
        <v>FAIL</v>
      </c>
      <c r="P38" s="17" t="str">
        <f>IF('Debt Schedule'!P25=0,"PASS",IF(AND(ISNUMBER(P36),P36&gt;=Assumptions!B104,ISNUMBER(P37),P37&lt;=Assumptions!B105),"PASS","FAIL"))</f>
        <v>FAIL</v>
      </c>
      <c r="Q38" s="17" t="str">
        <f>IF('Debt Schedule'!Q25=0,"PASS",IF(AND(ISNUMBER(Q36),Q36&gt;=Assumptions!B104,ISNUMBER(Q37),Q37&lt;=Assumptions!B105),"PASS","FAIL"))</f>
        <v>FAIL</v>
      </c>
      <c r="R38" s="17" t="str">
        <f>IF('Debt Schedule'!R25=0,"PASS",IF(AND(ISNUMBER(R36),R36&gt;=Assumptions!B104,ISNUMBER(R37),R37&lt;=Assumptions!B105),"PASS","FAIL"))</f>
        <v>FAIL</v>
      </c>
      <c r="S38" s="17" t="str">
        <f>IF('Debt Schedule'!S25=0,"PASS",IF(AND(ISNUMBER(S36),S36&gt;=Assumptions!B104,ISNUMBER(S37),S37&lt;=Assumptions!B105),"PASS","FAIL"))</f>
        <v>FAIL</v>
      </c>
      <c r="T38" s="17" t="str">
        <f>IF('Debt Schedule'!T25=0,"PASS",IF(AND(ISNUMBER(T36),T36&gt;=Assumptions!B104,ISNUMBER(T37),T37&lt;=Assumptions!B105),"PASS","FAIL"))</f>
        <v>FAIL</v>
      </c>
      <c r="U38" s="17" t="str">
        <f>IF('Debt Schedule'!U25=0,"PASS",IF(AND(ISNUMBER(U36),U36&gt;=Assumptions!B104,ISNUMBER(U37),U37&lt;=Assumptions!B105),"PASS","FAIL"))</f>
        <v>FAIL</v>
      </c>
      <c r="V38" s="17" t="str">
        <f>IF('Debt Schedule'!V25=0,"PASS",IF(AND(ISNUMBER(V36),V36&gt;=Assumptions!B104,ISNUMBER(V37),V37&lt;=Assumptions!B105),"PASS","FAIL"))</f>
        <v>FAIL</v>
      </c>
      <c r="W38" s="17" t="str">
        <f>IF('Debt Schedule'!W25=0,"PASS",IF(AND(ISNUMBER(W36),W36&gt;=Assumptions!B104,ISNUMBER(W37),W37&lt;=Assumptions!B105),"PASS","FAIL"))</f>
        <v>FAIL</v>
      </c>
      <c r="X38" s="17"/>
    </row>
    <row r="39" spans="1:24" ht="1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1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1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1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1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1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</sheetData>
  <conditionalFormatting sqref="C35:W35">
    <cfRule type="cellIs" dxfId="3" priority="2" operator="notEqual">
      <formula>0</formula>
    </cfRule>
  </conditionalFormatting>
  <conditionalFormatting sqref="C38:W38">
    <cfRule type="expression" dxfId="2" priority="3">
      <formula>C38="FAIL"</formula>
    </cfRule>
    <cfRule type="expression" dxfId="1" priority="4">
      <formula>C38="PASS"</formula>
    </cfRule>
  </conditionalFormatting>
  <pageMargins left="0.75" right="0.75" top="1" bottom="1" header="0.511811023622047" footer="0.511811023622047"/>
  <pageSetup paperSize="8" fitToHeight="0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X3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594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 customHeight="1" x14ac:dyDescent="0.2">
      <c r="A3" s="72"/>
      <c r="B3" s="72"/>
      <c r="C3" s="72" t="s">
        <v>304</v>
      </c>
      <c r="D3" s="72" t="s">
        <v>305</v>
      </c>
      <c r="E3" s="72" t="s">
        <v>306</v>
      </c>
      <c r="F3" s="72" t="s">
        <v>307</v>
      </c>
      <c r="G3" s="72" t="s">
        <v>308</v>
      </c>
      <c r="H3" s="72" t="s">
        <v>309</v>
      </c>
      <c r="I3" s="72" t="s">
        <v>310</v>
      </c>
      <c r="J3" s="72" t="s">
        <v>311</v>
      </c>
      <c r="K3" s="72" t="s">
        <v>312</v>
      </c>
      <c r="L3" s="72" t="s">
        <v>313</v>
      </c>
      <c r="M3" s="72" t="s">
        <v>314</v>
      </c>
      <c r="N3" s="72" t="s">
        <v>315</v>
      </c>
      <c r="O3" s="72" t="s">
        <v>316</v>
      </c>
      <c r="P3" s="72" t="s">
        <v>317</v>
      </c>
      <c r="Q3" s="72" t="s">
        <v>318</v>
      </c>
      <c r="R3" s="72" t="s">
        <v>319</v>
      </c>
      <c r="S3" s="72" t="s">
        <v>320</v>
      </c>
      <c r="T3" s="72" t="s">
        <v>321</v>
      </c>
      <c r="U3" s="72" t="s">
        <v>322</v>
      </c>
      <c r="V3" s="72" t="s">
        <v>323</v>
      </c>
      <c r="W3" s="72" t="s">
        <v>324</v>
      </c>
      <c r="X3" s="73" t="s">
        <v>124</v>
      </c>
    </row>
    <row r="4" spans="1:24" ht="1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5" customHeight="1" x14ac:dyDescent="0.2">
      <c r="A5" s="22" t="s">
        <v>455</v>
      </c>
      <c r="B5" s="4" t="s">
        <v>88</v>
      </c>
      <c r="C5" s="79">
        <f>'Income Statement'!C20</f>
        <v>0</v>
      </c>
      <c r="D5" s="79">
        <f>'Income Statement'!D20</f>
        <v>1766415399.8995605</v>
      </c>
      <c r="E5" s="79">
        <f>'Income Statement'!E20</f>
        <v>3844810168.5158024</v>
      </c>
      <c r="F5" s="79">
        <f>'Income Statement'!F20</f>
        <v>5136599905.0805874</v>
      </c>
      <c r="G5" s="79">
        <f>'Income Statement'!G20</f>
        <v>5453974585.6128607</v>
      </c>
      <c r="H5" s="79">
        <f>'Income Statement'!H20</f>
        <v>4047598615.9303784</v>
      </c>
      <c r="I5" s="79">
        <f>'Income Statement'!I20</f>
        <v>6138249656.4391241</v>
      </c>
      <c r="J5" s="79">
        <f>'Income Statement'!J20</f>
        <v>6514831676.1923866</v>
      </c>
      <c r="K5" s="79">
        <f>'Income Statement'!K20</f>
        <v>6912844071.8171978</v>
      </c>
      <c r="L5" s="79">
        <f>'Income Statement'!L20</f>
        <v>7333461328.0006151</v>
      </c>
      <c r="M5" s="79">
        <f>'Income Statement'!M20</f>
        <v>1476095855.5304272</v>
      </c>
      <c r="N5" s="79">
        <f>'Income Statement'!N20</f>
        <v>0</v>
      </c>
      <c r="O5" s="79">
        <f>'Income Statement'!O20</f>
        <v>0</v>
      </c>
      <c r="P5" s="79">
        <f>'Income Statement'!P20</f>
        <v>0</v>
      </c>
      <c r="Q5" s="79">
        <f>'Income Statement'!Q20</f>
        <v>0</v>
      </c>
      <c r="R5" s="79">
        <f>'Income Statement'!R20</f>
        <v>0</v>
      </c>
      <c r="S5" s="79">
        <f>'Income Statement'!S20</f>
        <v>0</v>
      </c>
      <c r="T5" s="79">
        <f>'Income Statement'!T20</f>
        <v>0</v>
      </c>
      <c r="U5" s="79">
        <f>'Income Statement'!U20</f>
        <v>0</v>
      </c>
      <c r="V5" s="79">
        <f>'Income Statement'!V20</f>
        <v>0</v>
      </c>
      <c r="W5" s="79">
        <f>'Income Statement'!W20</f>
        <v>0</v>
      </c>
      <c r="X5" s="87">
        <f t="shared" ref="X5:X11" si="0">SUM(C5:W5)</f>
        <v>48624881263.018944</v>
      </c>
    </row>
    <row r="6" spans="1:24" ht="15" customHeight="1" x14ac:dyDescent="0.2">
      <c r="A6" s="22" t="s">
        <v>595</v>
      </c>
      <c r="B6" s="4" t="s">
        <v>88</v>
      </c>
      <c r="C6" s="63">
        <f>IF(C5&lt;=0,0,-C5*'SA Tax Computation'!C29)</f>
        <v>0</v>
      </c>
      <c r="D6" s="63">
        <f>IF(D5&lt;=0,0,-D5*'SA Tax Computation'!D29)</f>
        <v>-480019224.49853706</v>
      </c>
      <c r="E6" s="63">
        <f>IF(E5&lt;=0,0,-E5*'SA Tax Computation'!E29)</f>
        <v>-1172609625.3278267</v>
      </c>
      <c r="F6" s="63">
        <f>IF(F5&lt;=0,0,-F5*'SA Tax Computation'!F29)</f>
        <v>-1569194123.6260822</v>
      </c>
      <c r="G6" s="63">
        <f>IF(G5&lt;=0,0,-G5*'SA Tax Computation'!G29)</f>
        <v>-1668273705.4978848</v>
      </c>
      <c r="H6" s="63">
        <f>IF(H5&lt;=0,0,-H5*'SA Tax Computation'!H29)</f>
        <v>-1235509369.0365796</v>
      </c>
      <c r="I6" s="63">
        <f>IF(I5&lt;=0,0,-I5*'SA Tax Computation'!I29)</f>
        <v>-1883107967.7023776</v>
      </c>
      <c r="J6" s="63">
        <f>IF(J5&lt;=0,0,-J5*'SA Tax Computation'!J29)</f>
        <v>-2000856310.6969602</v>
      </c>
      <c r="K6" s="63">
        <f>IF(K5&lt;=0,0,-K5*'SA Tax Computation'!K29)</f>
        <v>-2125359879.84079</v>
      </c>
      <c r="L6" s="63">
        <f>IF(L5&lt;=0,0,-L5*'SA Tax Computation'!L29)</f>
        <v>-2256991400.8893862</v>
      </c>
      <c r="M6" s="63">
        <f>IF(M5&lt;=0,0,-M5*'SA Tax Computation'!M29)</f>
        <v>-453171874.99330479</v>
      </c>
      <c r="N6" s="63">
        <f>IF(N5&lt;=0,0,-N5*'SA Tax Computation'!N29)</f>
        <v>0</v>
      </c>
      <c r="O6" s="63">
        <f>IF(O5&lt;=0,0,-O5*'SA Tax Computation'!O29)</f>
        <v>0</v>
      </c>
      <c r="P6" s="63">
        <f>IF(P5&lt;=0,0,-P5*'SA Tax Computation'!P29)</f>
        <v>0</v>
      </c>
      <c r="Q6" s="63">
        <f>IF(Q5&lt;=0,0,-Q5*'SA Tax Computation'!Q29)</f>
        <v>0</v>
      </c>
      <c r="R6" s="63">
        <f>IF(R5&lt;=0,0,-R5*'SA Tax Computation'!R29)</f>
        <v>0</v>
      </c>
      <c r="S6" s="63">
        <f>IF(S5&lt;=0,0,-S5*'SA Tax Computation'!S29)</f>
        <v>0</v>
      </c>
      <c r="T6" s="63">
        <f>IF(T5&lt;=0,0,-T5*'SA Tax Computation'!T29)</f>
        <v>0</v>
      </c>
      <c r="U6" s="63">
        <f>IF(U5&lt;=0,0,-U5*'SA Tax Computation'!U29)</f>
        <v>0</v>
      </c>
      <c r="V6" s="63">
        <f>IF(V5&lt;=0,0,-V5*'SA Tax Computation'!V29)</f>
        <v>0</v>
      </c>
      <c r="W6" s="63">
        <f>IF(W5&lt;=0,0,-W5*'SA Tax Computation'!W29)</f>
        <v>0</v>
      </c>
      <c r="X6" s="87">
        <f t="shared" si="0"/>
        <v>-14845093482.10973</v>
      </c>
    </row>
    <row r="7" spans="1:24" ht="15" customHeight="1" x14ac:dyDescent="0.2">
      <c r="A7" s="22" t="s">
        <v>596</v>
      </c>
      <c r="B7" s="4" t="s">
        <v>88</v>
      </c>
      <c r="C7" s="63">
        <f t="shared" ref="C7:W7" si="1">C5+C6</f>
        <v>0</v>
      </c>
      <c r="D7" s="63">
        <f t="shared" si="1"/>
        <v>1286396175.4010234</v>
      </c>
      <c r="E7" s="63">
        <f t="shared" si="1"/>
        <v>2672200543.1879759</v>
      </c>
      <c r="F7" s="63">
        <f t="shared" si="1"/>
        <v>3567405781.454505</v>
      </c>
      <c r="G7" s="63">
        <f t="shared" si="1"/>
        <v>3785700880.1149759</v>
      </c>
      <c r="H7" s="63">
        <f t="shared" si="1"/>
        <v>2812089246.8937988</v>
      </c>
      <c r="I7" s="63">
        <f t="shared" si="1"/>
        <v>4255141688.7367468</v>
      </c>
      <c r="J7" s="63">
        <f t="shared" si="1"/>
        <v>4513975365.4954262</v>
      </c>
      <c r="K7" s="63">
        <f t="shared" si="1"/>
        <v>4787484191.976408</v>
      </c>
      <c r="L7" s="63">
        <f t="shared" si="1"/>
        <v>5076469927.1112289</v>
      </c>
      <c r="M7" s="63">
        <f t="shared" si="1"/>
        <v>1022923980.5371225</v>
      </c>
      <c r="N7" s="63">
        <f t="shared" si="1"/>
        <v>0</v>
      </c>
      <c r="O7" s="63">
        <f t="shared" si="1"/>
        <v>0</v>
      </c>
      <c r="P7" s="63">
        <f t="shared" si="1"/>
        <v>0</v>
      </c>
      <c r="Q7" s="63">
        <f t="shared" si="1"/>
        <v>0</v>
      </c>
      <c r="R7" s="63">
        <f t="shared" si="1"/>
        <v>0</v>
      </c>
      <c r="S7" s="63">
        <f t="shared" si="1"/>
        <v>0</v>
      </c>
      <c r="T7" s="63">
        <f t="shared" si="1"/>
        <v>0</v>
      </c>
      <c r="U7" s="63">
        <f t="shared" si="1"/>
        <v>0</v>
      </c>
      <c r="V7" s="63">
        <f t="shared" si="1"/>
        <v>0</v>
      </c>
      <c r="W7" s="63">
        <f t="shared" si="1"/>
        <v>0</v>
      </c>
      <c r="X7" s="87">
        <f t="shared" si="0"/>
        <v>33779787780.909214</v>
      </c>
    </row>
    <row r="8" spans="1:24" ht="15" customHeight="1" x14ac:dyDescent="0.2">
      <c r="A8" s="22" t="s">
        <v>597</v>
      </c>
      <c r="B8" s="4" t="s">
        <v>88</v>
      </c>
      <c r="C8" s="79">
        <f>-'Income Statement'!C19</f>
        <v>0</v>
      </c>
      <c r="D8" s="79">
        <f>-'Income Statement'!D19</f>
        <v>92000000</v>
      </c>
      <c r="E8" s="79">
        <f>-'Income Statement'!E19</f>
        <v>92000000</v>
      </c>
      <c r="F8" s="79">
        <f>-'Income Statement'!F19</f>
        <v>92000000</v>
      </c>
      <c r="G8" s="79">
        <f>-'Income Statement'!G19</f>
        <v>92900000</v>
      </c>
      <c r="H8" s="79">
        <f>-'Income Statement'!H19</f>
        <v>93800000</v>
      </c>
      <c r="I8" s="79">
        <f>-'Income Statement'!I19</f>
        <v>103700000</v>
      </c>
      <c r="J8" s="79">
        <f>-'Income Statement'!J19</f>
        <v>104600000</v>
      </c>
      <c r="K8" s="79">
        <f>-'Income Statement'!K19</f>
        <v>105500000</v>
      </c>
      <c r="L8" s="79">
        <f>-'Income Statement'!L19</f>
        <v>106400000</v>
      </c>
      <c r="M8" s="79">
        <f>-'Income Statement'!M19</f>
        <v>107300000</v>
      </c>
      <c r="N8" s="79">
        <f>-'Income Statement'!N19</f>
        <v>0</v>
      </c>
      <c r="O8" s="79">
        <f>-'Income Statement'!O19</f>
        <v>0</v>
      </c>
      <c r="P8" s="79">
        <f>-'Income Statement'!P19</f>
        <v>0</v>
      </c>
      <c r="Q8" s="79">
        <f>-'Income Statement'!Q19</f>
        <v>0</v>
      </c>
      <c r="R8" s="79">
        <f>-'Income Statement'!R19</f>
        <v>0</v>
      </c>
      <c r="S8" s="79">
        <f>-'Income Statement'!S19</f>
        <v>0</v>
      </c>
      <c r="T8" s="79">
        <f>-'Income Statement'!T19</f>
        <v>0</v>
      </c>
      <c r="U8" s="79">
        <f>-'Income Statement'!U19</f>
        <v>0</v>
      </c>
      <c r="V8" s="79">
        <f>-'Income Statement'!V19</f>
        <v>0</v>
      </c>
      <c r="W8" s="79">
        <f>-'Income Statement'!W19</f>
        <v>0</v>
      </c>
      <c r="X8" s="87">
        <f t="shared" si="0"/>
        <v>990200000</v>
      </c>
    </row>
    <row r="9" spans="1:24" ht="15" customHeight="1" x14ac:dyDescent="0.2">
      <c r="A9" s="22" t="s">
        <v>598</v>
      </c>
      <c r="B9" s="4" t="s">
        <v>88</v>
      </c>
      <c r="C9" s="79">
        <f>-('Balance Sheet'!C6+'Balance Sheet'!C7+'Balance Sheet'!C8-'Balance Sheet'!C15-'Balance Sheet'!C16)</f>
        <v>0</v>
      </c>
      <c r="D9" s="79">
        <f>-(('Balance Sheet'!D6+'Balance Sheet'!D7+'Balance Sheet'!D8-'Balance Sheet'!D15-'Balance Sheet'!D16)-('Balance Sheet'!C6+'Balance Sheet'!C7+'Balance Sheet'!C8-'Balance Sheet'!C15-'Balance Sheet'!C16))</f>
        <v>-634645912.29846609</v>
      </c>
      <c r="E9" s="79">
        <f>-(('Balance Sheet'!E6+'Balance Sheet'!E7+'Balance Sheet'!E8-'Balance Sheet'!E15-'Balance Sheet'!E16)-('Balance Sheet'!D6+'Balance Sheet'!D7+'Balance Sheet'!D8-'Balance Sheet'!D15-'Balance Sheet'!D16))</f>
        <v>-681041630.96459162</v>
      </c>
      <c r="F9" s="79">
        <f>-(('Balance Sheet'!F6+'Balance Sheet'!F7+'Balance Sheet'!F8-'Balance Sheet'!F15-'Balance Sheet'!F16)-('Balance Sheet'!E6+'Balance Sheet'!E7+'Balance Sheet'!E8-'Balance Sheet'!E15-'Balance Sheet'!E16))</f>
        <v>-407876175.12856197</v>
      </c>
      <c r="G9" s="79">
        <f>-(('Balance Sheet'!G6+'Balance Sheet'!G7+'Balance Sheet'!G8-'Balance Sheet'!G15-'Balance Sheet'!G16)-('Balance Sheet'!F6+'Balance Sheet'!F7+'Balance Sheet'!F8-'Balance Sheet'!F15-'Balance Sheet'!F16))</f>
        <v>-82783973.977439642</v>
      </c>
      <c r="H9" s="79">
        <f>-(('Balance Sheet'!H6+'Balance Sheet'!H7+'Balance Sheet'!H8-'Balance Sheet'!H15-'Balance Sheet'!H16)-('Balance Sheet'!G6+'Balance Sheet'!G7+'Balance Sheet'!G8-'Balance Sheet'!G15-'Balance Sheet'!G16))</f>
        <v>470007422.64456153</v>
      </c>
      <c r="I9" s="79">
        <f>-(('Balance Sheet'!I6+'Balance Sheet'!I7+'Balance Sheet'!I8-'Balance Sheet'!I15-'Balance Sheet'!I16)-('Balance Sheet'!H6+'Balance Sheet'!H7+'Balance Sheet'!H8-'Balance Sheet'!H15-'Balance Sheet'!H16))</f>
        <v>-647823113.95785952</v>
      </c>
      <c r="J9" s="79">
        <f>-(('Balance Sheet'!J6+'Balance Sheet'!J7+'Balance Sheet'!J8-'Balance Sheet'!J15-'Balance Sheet'!J16)-('Balance Sheet'!I6+'Balance Sheet'!I7+'Balance Sheet'!I8-'Balance Sheet'!I15-'Balance Sheet'!I16))</f>
        <v>-95434598.569858789</v>
      </c>
      <c r="K9" s="79">
        <f>-(('Balance Sheet'!K6+'Balance Sheet'!K7+'Balance Sheet'!K8-'Balance Sheet'!K15-'Balance Sheet'!K16)-('Balance Sheet'!J6+'Balance Sheet'!J7+'Balance Sheet'!J8-'Balance Sheet'!J15-'Balance Sheet'!J16))</f>
        <v>-100070983.39408803</v>
      </c>
      <c r="L9" s="79">
        <f>-(('Balance Sheet'!L6+'Balance Sheet'!L7+'Balance Sheet'!L8-'Balance Sheet'!L15-'Balance Sheet'!L16)-('Balance Sheet'!K6+'Balance Sheet'!K7+'Balance Sheet'!K8-'Balance Sheet'!K15-'Balance Sheet'!K16))</f>
        <v>-104934496.18292236</v>
      </c>
      <c r="M9" s="79">
        <f>-(('Balance Sheet'!M6+'Balance Sheet'!M7+'Balance Sheet'!M8-'Balance Sheet'!M15-'Balance Sheet'!M16)-('Balance Sheet'!L6+'Balance Sheet'!L7+'Balance Sheet'!L8-'Balance Sheet'!L15-'Balance Sheet'!L16))</f>
        <v>1791589385.053103</v>
      </c>
      <c r="N9" s="79">
        <f>-(('Balance Sheet'!N6+'Balance Sheet'!N7+'Balance Sheet'!N8-'Balance Sheet'!N15-'Balance Sheet'!N16)-('Balance Sheet'!M6+'Balance Sheet'!M7+'Balance Sheet'!M8-'Balance Sheet'!M15-'Balance Sheet'!M16))</f>
        <v>493014076.77612364</v>
      </c>
      <c r="O9" s="79">
        <f>-(('Balance Sheet'!O6+'Balance Sheet'!O7+'Balance Sheet'!O8-'Balance Sheet'!O15-'Balance Sheet'!O16)-('Balance Sheet'!N6+'Balance Sheet'!N7+'Balance Sheet'!N8-'Balance Sheet'!N15-'Balance Sheet'!N16))</f>
        <v>0</v>
      </c>
      <c r="P9" s="79">
        <f>-(('Balance Sheet'!P6+'Balance Sheet'!P7+'Balance Sheet'!P8-'Balance Sheet'!P15-'Balance Sheet'!P16)-('Balance Sheet'!O6+'Balance Sheet'!O7+'Balance Sheet'!O8-'Balance Sheet'!O15-'Balance Sheet'!O16))</f>
        <v>0</v>
      </c>
      <c r="Q9" s="79">
        <f>-(('Balance Sheet'!Q6+'Balance Sheet'!Q7+'Balance Sheet'!Q8-'Balance Sheet'!Q15-'Balance Sheet'!Q16)-('Balance Sheet'!P6+'Balance Sheet'!P7+'Balance Sheet'!P8-'Balance Sheet'!P15-'Balance Sheet'!P16))</f>
        <v>0</v>
      </c>
      <c r="R9" s="79">
        <f>-(('Balance Sheet'!R6+'Balance Sheet'!R7+'Balance Sheet'!R8-'Balance Sheet'!R15-'Balance Sheet'!R16)-('Balance Sheet'!Q6+'Balance Sheet'!Q7+'Balance Sheet'!Q8-'Balance Sheet'!Q15-'Balance Sheet'!Q16))</f>
        <v>0</v>
      </c>
      <c r="S9" s="79">
        <f>-(('Balance Sheet'!S6+'Balance Sheet'!S7+'Balance Sheet'!S8-'Balance Sheet'!S15-'Balance Sheet'!S16)-('Balance Sheet'!R6+'Balance Sheet'!R7+'Balance Sheet'!R8-'Balance Sheet'!R15-'Balance Sheet'!R16))</f>
        <v>0</v>
      </c>
      <c r="T9" s="79">
        <f>-(('Balance Sheet'!T6+'Balance Sheet'!T7+'Balance Sheet'!T8-'Balance Sheet'!T15-'Balance Sheet'!T16)-('Balance Sheet'!S6+'Balance Sheet'!S7+'Balance Sheet'!S8-'Balance Sheet'!S15-'Balance Sheet'!S16))</f>
        <v>0</v>
      </c>
      <c r="U9" s="79">
        <f>-(('Balance Sheet'!U6+'Balance Sheet'!U7+'Balance Sheet'!U8-'Balance Sheet'!U15-'Balance Sheet'!U16)-('Balance Sheet'!T6+'Balance Sheet'!T7+'Balance Sheet'!T8-'Balance Sheet'!T15-'Balance Sheet'!T16))</f>
        <v>0</v>
      </c>
      <c r="V9" s="79">
        <f>-(('Balance Sheet'!V6+'Balance Sheet'!V7+'Balance Sheet'!V8-'Balance Sheet'!V15-'Balance Sheet'!V16)-('Balance Sheet'!U6+'Balance Sheet'!U7+'Balance Sheet'!U8-'Balance Sheet'!U15-'Balance Sheet'!U16))</f>
        <v>0</v>
      </c>
      <c r="W9" s="79">
        <f>-(('Balance Sheet'!W6+'Balance Sheet'!W7+'Balance Sheet'!W8-'Balance Sheet'!W15-'Balance Sheet'!W16)-('Balance Sheet'!V6+'Balance Sheet'!V7+'Balance Sheet'!V8-'Balance Sheet'!V15-'Balance Sheet'!V16))</f>
        <v>0</v>
      </c>
      <c r="X9" s="87">
        <f t="shared" si="0"/>
        <v>1.1920928955078125E-7</v>
      </c>
    </row>
    <row r="10" spans="1:24" ht="15" customHeight="1" x14ac:dyDescent="0.2">
      <c r="A10" s="22" t="s">
        <v>599</v>
      </c>
      <c r="B10" s="4" t="s">
        <v>88</v>
      </c>
      <c r="C10" s="79">
        <f>-'Fixed Assets'!C8-Exploration!C5</f>
        <v>-920000000</v>
      </c>
      <c r="D10" s="79">
        <f>-'Fixed Assets'!D8-Exploration!D5</f>
        <v>0</v>
      </c>
      <c r="E10" s="79">
        <f>-'Fixed Assets'!E8-Exploration!E5</f>
        <v>0</v>
      </c>
      <c r="F10" s="79">
        <f>-'Fixed Assets'!F8-Exploration!F5</f>
        <v>-9000000</v>
      </c>
      <c r="G10" s="79">
        <f>-'Fixed Assets'!G8-Exploration!G5</f>
        <v>-9000000</v>
      </c>
      <c r="H10" s="79">
        <f>-'Fixed Assets'!H8-Exploration!H5</f>
        <v>-99000000</v>
      </c>
      <c r="I10" s="79">
        <f>-'Fixed Assets'!I8-Exploration!I5</f>
        <v>-9000000</v>
      </c>
      <c r="J10" s="79">
        <f>-'Fixed Assets'!J8-Exploration!J5</f>
        <v>-9000000</v>
      </c>
      <c r="K10" s="79">
        <f>-'Fixed Assets'!K8-Exploration!K5</f>
        <v>-9000000</v>
      </c>
      <c r="L10" s="79">
        <f>-'Fixed Assets'!L8-Exploration!L5</f>
        <v>-9000000</v>
      </c>
      <c r="M10" s="79">
        <f>-'Fixed Assets'!M8-Exploration!M5</f>
        <v>-9000000</v>
      </c>
      <c r="N10" s="79">
        <f>-'Fixed Assets'!N8-Exploration!N5</f>
        <v>0</v>
      </c>
      <c r="O10" s="79">
        <f>-'Fixed Assets'!O8-Exploration!O5</f>
        <v>0</v>
      </c>
      <c r="P10" s="79">
        <f>-'Fixed Assets'!P8-Exploration!P5</f>
        <v>0</v>
      </c>
      <c r="Q10" s="79">
        <f>-'Fixed Assets'!Q8-Exploration!Q5</f>
        <v>0</v>
      </c>
      <c r="R10" s="79">
        <f>-'Fixed Assets'!R8-Exploration!R5</f>
        <v>0</v>
      </c>
      <c r="S10" s="79">
        <f>-'Fixed Assets'!S8-Exploration!S5</f>
        <v>0</v>
      </c>
      <c r="T10" s="79">
        <f>-'Fixed Assets'!T8-Exploration!T5</f>
        <v>0</v>
      </c>
      <c r="U10" s="79">
        <f>-'Fixed Assets'!U8-Exploration!U5</f>
        <v>0</v>
      </c>
      <c r="V10" s="79">
        <f>-'Fixed Assets'!V8-Exploration!V5</f>
        <v>0</v>
      </c>
      <c r="W10" s="79">
        <f>-'Fixed Assets'!W8-Exploration!W5</f>
        <v>0</v>
      </c>
      <c r="X10" s="87">
        <f t="shared" si="0"/>
        <v>-1082000000</v>
      </c>
    </row>
    <row r="11" spans="1:24" ht="15" customHeight="1" x14ac:dyDescent="0.2">
      <c r="A11" s="97" t="s">
        <v>600</v>
      </c>
      <c r="B11" s="70" t="s">
        <v>88</v>
      </c>
      <c r="C11" s="101">
        <f t="shared" ref="C11:W11" si="2">SUM(C7:C10)</f>
        <v>-920000000</v>
      </c>
      <c r="D11" s="101">
        <f t="shared" si="2"/>
        <v>743750263.1025573</v>
      </c>
      <c r="E11" s="101">
        <f t="shared" si="2"/>
        <v>2083158912.2233844</v>
      </c>
      <c r="F11" s="101">
        <f t="shared" si="2"/>
        <v>3242529606.325943</v>
      </c>
      <c r="G11" s="101">
        <f t="shared" si="2"/>
        <v>3786816906.137536</v>
      </c>
      <c r="H11" s="101">
        <f t="shared" si="2"/>
        <v>3276896669.5383606</v>
      </c>
      <c r="I11" s="101">
        <f t="shared" si="2"/>
        <v>3702018574.7788873</v>
      </c>
      <c r="J11" s="101">
        <f t="shared" si="2"/>
        <v>4514140766.9255676</v>
      </c>
      <c r="K11" s="101">
        <f t="shared" si="2"/>
        <v>4783913208.5823202</v>
      </c>
      <c r="L11" s="101">
        <f t="shared" si="2"/>
        <v>5068935430.9283066</v>
      </c>
      <c r="M11" s="101">
        <f t="shared" si="2"/>
        <v>2912813365.5902252</v>
      </c>
      <c r="N11" s="101">
        <f t="shared" si="2"/>
        <v>493014076.77612364</v>
      </c>
      <c r="O11" s="101">
        <f t="shared" si="2"/>
        <v>0</v>
      </c>
      <c r="P11" s="101">
        <f t="shared" si="2"/>
        <v>0</v>
      </c>
      <c r="Q11" s="101">
        <f t="shared" si="2"/>
        <v>0</v>
      </c>
      <c r="R11" s="101">
        <f t="shared" si="2"/>
        <v>0</v>
      </c>
      <c r="S11" s="101">
        <f t="shared" si="2"/>
        <v>0</v>
      </c>
      <c r="T11" s="101">
        <f t="shared" si="2"/>
        <v>0</v>
      </c>
      <c r="U11" s="101">
        <f t="shared" si="2"/>
        <v>0</v>
      </c>
      <c r="V11" s="101">
        <f t="shared" si="2"/>
        <v>0</v>
      </c>
      <c r="W11" s="101">
        <f t="shared" si="2"/>
        <v>0</v>
      </c>
      <c r="X11" s="90">
        <f t="shared" si="0"/>
        <v>33687987780.90921</v>
      </c>
    </row>
    <row r="12" spans="1:24" ht="15" customHeight="1" x14ac:dyDescent="0.2">
      <c r="A12" s="22" t="s">
        <v>601</v>
      </c>
      <c r="B12" s="4" t="s">
        <v>88</v>
      </c>
      <c r="C12" s="63">
        <f>C11</f>
        <v>-920000000</v>
      </c>
      <c r="D12" s="63">
        <f t="shared" ref="D12:W12" si="3">C12+D11</f>
        <v>-176249736.8974427</v>
      </c>
      <c r="E12" s="63">
        <f t="shared" si="3"/>
        <v>1906909175.3259416</v>
      </c>
      <c r="F12" s="63">
        <f t="shared" si="3"/>
        <v>5149438781.6518841</v>
      </c>
      <c r="G12" s="63">
        <f t="shared" si="3"/>
        <v>8936255687.7894211</v>
      </c>
      <c r="H12" s="63">
        <f t="shared" si="3"/>
        <v>12213152357.327782</v>
      </c>
      <c r="I12" s="63">
        <f t="shared" si="3"/>
        <v>15915170932.106668</v>
      </c>
      <c r="J12" s="63">
        <f t="shared" si="3"/>
        <v>20429311699.032234</v>
      </c>
      <c r="K12" s="63">
        <f t="shared" si="3"/>
        <v>25213224907.614555</v>
      </c>
      <c r="L12" s="63">
        <f t="shared" si="3"/>
        <v>30282160338.542862</v>
      </c>
      <c r="M12" s="63">
        <f t="shared" si="3"/>
        <v>33194973704.133087</v>
      </c>
      <c r="N12" s="63">
        <f t="shared" si="3"/>
        <v>33687987780.90921</v>
      </c>
      <c r="O12" s="63">
        <f t="shared" si="3"/>
        <v>33687987780.90921</v>
      </c>
      <c r="P12" s="63">
        <f t="shared" si="3"/>
        <v>33687987780.90921</v>
      </c>
      <c r="Q12" s="63">
        <f t="shared" si="3"/>
        <v>33687987780.90921</v>
      </c>
      <c r="R12" s="63">
        <f t="shared" si="3"/>
        <v>33687987780.90921</v>
      </c>
      <c r="S12" s="63">
        <f t="shared" si="3"/>
        <v>33687987780.90921</v>
      </c>
      <c r="T12" s="63">
        <f t="shared" si="3"/>
        <v>33687987780.90921</v>
      </c>
      <c r="U12" s="63">
        <f t="shared" si="3"/>
        <v>33687987780.90921</v>
      </c>
      <c r="V12" s="63">
        <f t="shared" si="3"/>
        <v>33687987780.90921</v>
      </c>
      <c r="W12" s="63">
        <f t="shared" si="3"/>
        <v>33687987780.90921</v>
      </c>
      <c r="X12" s="17"/>
    </row>
    <row r="13" spans="1:24" ht="15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15" customHeight="1" x14ac:dyDescent="0.2">
      <c r="A14" s="27" t="s">
        <v>602</v>
      </c>
      <c r="B14" s="115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</row>
    <row r="15" spans="1:24" ht="15" customHeight="1" x14ac:dyDescent="0.2">
      <c r="A15" s="22" t="s">
        <v>603</v>
      </c>
      <c r="B15" s="116" t="s">
        <v>88</v>
      </c>
      <c r="C15" s="63">
        <f t="shared" ref="C15:W15" si="4">C11</f>
        <v>-920000000</v>
      </c>
      <c r="D15" s="63">
        <f t="shared" si="4"/>
        <v>743750263.1025573</v>
      </c>
      <c r="E15" s="63">
        <f t="shared" si="4"/>
        <v>2083158912.2233844</v>
      </c>
      <c r="F15" s="63">
        <f t="shared" si="4"/>
        <v>3242529606.325943</v>
      </c>
      <c r="G15" s="63">
        <f t="shared" si="4"/>
        <v>3786816906.137536</v>
      </c>
      <c r="H15" s="63">
        <f t="shared" si="4"/>
        <v>3276896669.5383606</v>
      </c>
      <c r="I15" s="63">
        <f t="shared" si="4"/>
        <v>3702018574.7788873</v>
      </c>
      <c r="J15" s="63">
        <f t="shared" si="4"/>
        <v>4514140766.9255676</v>
      </c>
      <c r="K15" s="63">
        <f t="shared" si="4"/>
        <v>4783913208.5823202</v>
      </c>
      <c r="L15" s="63">
        <f t="shared" si="4"/>
        <v>5068935430.9283066</v>
      </c>
      <c r="M15" s="63">
        <f t="shared" si="4"/>
        <v>2912813365.5902252</v>
      </c>
      <c r="N15" s="63">
        <f t="shared" si="4"/>
        <v>493014076.77612364</v>
      </c>
      <c r="O15" s="63">
        <f t="shared" si="4"/>
        <v>0</v>
      </c>
      <c r="P15" s="63">
        <f t="shared" si="4"/>
        <v>0</v>
      </c>
      <c r="Q15" s="63">
        <f t="shared" si="4"/>
        <v>0</v>
      </c>
      <c r="R15" s="63">
        <f t="shared" si="4"/>
        <v>0</v>
      </c>
      <c r="S15" s="63">
        <f t="shared" si="4"/>
        <v>0</v>
      </c>
      <c r="T15" s="63">
        <f t="shared" si="4"/>
        <v>0</v>
      </c>
      <c r="U15" s="63">
        <f t="shared" si="4"/>
        <v>0</v>
      </c>
      <c r="V15" s="63">
        <f t="shared" si="4"/>
        <v>0</v>
      </c>
      <c r="W15" s="63">
        <f t="shared" si="4"/>
        <v>0</v>
      </c>
      <c r="X15" s="87">
        <f>SUM(C15:W15)</f>
        <v>33687987780.90921</v>
      </c>
    </row>
    <row r="16" spans="1:24" ht="15" customHeight="1" x14ac:dyDescent="0.2">
      <c r="A16" s="22" t="s">
        <v>604</v>
      </c>
      <c r="B16" s="117" t="s">
        <v>88</v>
      </c>
      <c r="C16" s="79">
        <f>'Debt Schedule'!C30</f>
        <v>542000000</v>
      </c>
      <c r="D16" s="79">
        <f>'Debt Schedule'!D30</f>
        <v>0</v>
      </c>
      <c r="E16" s="79">
        <f>'Debt Schedule'!E30</f>
        <v>-48392857.142857142</v>
      </c>
      <c r="F16" s="79">
        <f>'Debt Schedule'!F30</f>
        <v>-48392857.142857142</v>
      </c>
      <c r="G16" s="79">
        <f>'Debt Schedule'!G30</f>
        <v>-48392857.142857142</v>
      </c>
      <c r="H16" s="79">
        <f>'Debt Schedule'!H30</f>
        <v>-251642857.14285713</v>
      </c>
      <c r="I16" s="79">
        <f>'Debt Schedule'!I30</f>
        <v>-48392857.142857142</v>
      </c>
      <c r="J16" s="79">
        <f>'Debt Schedule'!J30</f>
        <v>-48392857.142857142</v>
      </c>
      <c r="K16" s="79">
        <f>'Debt Schedule'!K30</f>
        <v>-48392857.142857142</v>
      </c>
      <c r="L16" s="79">
        <f>'Debt Schedule'!L30</f>
        <v>0</v>
      </c>
      <c r="M16" s="79">
        <f>'Debt Schedule'!M30</f>
        <v>0</v>
      </c>
      <c r="N16" s="79">
        <f>'Debt Schedule'!N30</f>
        <v>0</v>
      </c>
      <c r="O16" s="79">
        <f>'Debt Schedule'!O30</f>
        <v>0</v>
      </c>
      <c r="P16" s="79">
        <f>'Debt Schedule'!P30</f>
        <v>0</v>
      </c>
      <c r="Q16" s="79">
        <f>'Debt Schedule'!Q30</f>
        <v>0</v>
      </c>
      <c r="R16" s="79">
        <f>'Debt Schedule'!R30</f>
        <v>0</v>
      </c>
      <c r="S16" s="79">
        <f>'Debt Schedule'!S30</f>
        <v>0</v>
      </c>
      <c r="T16" s="79">
        <f>'Debt Schedule'!T30</f>
        <v>0</v>
      </c>
      <c r="U16" s="79">
        <f>'Debt Schedule'!U30</f>
        <v>0</v>
      </c>
      <c r="V16" s="79">
        <f>'Debt Schedule'!V30</f>
        <v>0</v>
      </c>
      <c r="W16" s="79">
        <f>'Debt Schedule'!W30</f>
        <v>0</v>
      </c>
      <c r="X16" s="87">
        <f>SUM(C16:W16)</f>
        <v>4.4703483581542969E-8</v>
      </c>
    </row>
    <row r="17" spans="1:24" ht="15" customHeight="1" x14ac:dyDescent="0.2">
      <c r="A17" s="22" t="s">
        <v>605</v>
      </c>
      <c r="B17" s="4" t="s">
        <v>88</v>
      </c>
      <c r="C17" s="79">
        <f>'Debt Schedule'!C10*(1-'SA Tax Computation'!C29)</f>
        <v>0</v>
      </c>
      <c r="D17" s="79">
        <f>'Debt Schedule'!D10*(1-'SA Tax Computation'!D29)</f>
        <v>-44158491.878578261</v>
      </c>
      <c r="E17" s="79">
        <f>'Debt Schedule'!E10*(1-'SA Tax Computation'!E29)</f>
        <v>-42143100.20133727</v>
      </c>
      <c r="F17" s="79">
        <f>'Debt Schedule'!F10*(1-'SA Tax Computation'!F29)</f>
        <v>-38919441.160775773</v>
      </c>
      <c r="G17" s="79">
        <f>'Debt Schedule'!G10*(1-'SA Tax Computation'!G29)</f>
        <v>-35706535.550964616</v>
      </c>
      <c r="H17" s="79">
        <f>'Debt Schedule'!H10*(1-'SA Tax Computation'!H29)</f>
        <v>-32545300.222483702</v>
      </c>
      <c r="I17" s="79">
        <f>'Debt Schedule'!I10*(1-'SA Tax Computation'!I29)</f>
        <v>-9560830.120382579</v>
      </c>
      <c r="J17" s="79">
        <f>'Debt Schedule'!J10*(1-'SA Tax Computation'!J29)</f>
        <v>-6370754.2135499548</v>
      </c>
      <c r="K17" s="79">
        <f>'Debt Schedule'!K10*(1-'SA Tax Computation'!K29)</f>
        <v>-3183870.9850914385</v>
      </c>
      <c r="L17" s="79">
        <f>'Debt Schedule'!L10*(1-'SA Tax Computation'!L29)</f>
        <v>-2.9397999920407396E-9</v>
      </c>
      <c r="M17" s="79">
        <f>'Debt Schedule'!M10*(1-'SA Tax Computation'!M29)</f>
        <v>-2.9430237838478212E-9</v>
      </c>
      <c r="N17" s="79">
        <f>'Debt Schedule'!N10*(1-'SA Tax Computation'!N29)</f>
        <v>-4.2468309402465825E-9</v>
      </c>
      <c r="O17" s="79">
        <f>'Debt Schedule'!O10*(1-'SA Tax Computation'!O29)</f>
        <v>-4.2468309402465825E-9</v>
      </c>
      <c r="P17" s="79">
        <f>'Debt Schedule'!P10*(1-'SA Tax Computation'!P29)</f>
        <v>-4.2468309402465825E-9</v>
      </c>
      <c r="Q17" s="79">
        <f>'Debt Schedule'!Q10*(1-'SA Tax Computation'!Q29)</f>
        <v>-4.2468309402465825E-9</v>
      </c>
      <c r="R17" s="79">
        <f>'Debt Schedule'!R10*(1-'SA Tax Computation'!R29)</f>
        <v>-4.2468309402465825E-9</v>
      </c>
      <c r="S17" s="79">
        <f>'Debt Schedule'!S10*(1-'SA Tax Computation'!S29)</f>
        <v>-4.2468309402465825E-9</v>
      </c>
      <c r="T17" s="79">
        <f>'Debt Schedule'!T10*(1-'SA Tax Computation'!T29)</f>
        <v>-4.2468309402465825E-9</v>
      </c>
      <c r="U17" s="79">
        <f>'Debt Schedule'!U10*(1-'SA Tax Computation'!U29)</f>
        <v>-4.2468309402465825E-9</v>
      </c>
      <c r="V17" s="79">
        <f>'Debt Schedule'!V10*(1-'SA Tax Computation'!V29)</f>
        <v>-4.2468309402465825E-9</v>
      </c>
      <c r="W17" s="79">
        <f>'Debt Schedule'!W10*(1-'SA Tax Computation'!W29)</f>
        <v>-4.2468309402465825E-9</v>
      </c>
      <c r="X17" s="87">
        <f>SUM(C17:W17)</f>
        <v>-212588324.33316359</v>
      </c>
    </row>
    <row r="18" spans="1:24" ht="15" customHeight="1" x14ac:dyDescent="0.2">
      <c r="A18" s="97" t="s">
        <v>606</v>
      </c>
      <c r="B18" s="70" t="s">
        <v>88</v>
      </c>
      <c r="C18" s="101">
        <f t="shared" ref="C18:W18" si="5">C15+C16+C17</f>
        <v>-378000000</v>
      </c>
      <c r="D18" s="101">
        <f t="shared" si="5"/>
        <v>699591771.223979</v>
      </c>
      <c r="E18" s="101">
        <f t="shared" si="5"/>
        <v>1992622954.87919</v>
      </c>
      <c r="F18" s="101">
        <f t="shared" si="5"/>
        <v>3155217308.0223103</v>
      </c>
      <c r="G18" s="101">
        <f t="shared" si="5"/>
        <v>3702717513.4437141</v>
      </c>
      <c r="H18" s="101">
        <f t="shared" si="5"/>
        <v>2992708512.1730199</v>
      </c>
      <c r="I18" s="101">
        <f t="shared" si="5"/>
        <v>3644064887.5156474</v>
      </c>
      <c r="J18" s="101">
        <f t="shared" si="5"/>
        <v>4459377155.5691605</v>
      </c>
      <c r="K18" s="101">
        <f t="shared" si="5"/>
        <v>4732336480.4543715</v>
      </c>
      <c r="L18" s="101">
        <f t="shared" si="5"/>
        <v>5068935430.9283066</v>
      </c>
      <c r="M18" s="101">
        <f t="shared" si="5"/>
        <v>2912813365.5902252</v>
      </c>
      <c r="N18" s="101">
        <f t="shared" si="5"/>
        <v>493014076.77612364</v>
      </c>
      <c r="O18" s="101">
        <f t="shared" si="5"/>
        <v>-4.2468309402465825E-9</v>
      </c>
      <c r="P18" s="101">
        <f t="shared" si="5"/>
        <v>-4.2468309402465825E-9</v>
      </c>
      <c r="Q18" s="101">
        <f t="shared" si="5"/>
        <v>-4.2468309402465825E-9</v>
      </c>
      <c r="R18" s="101">
        <f t="shared" si="5"/>
        <v>-4.2468309402465825E-9</v>
      </c>
      <c r="S18" s="101">
        <f t="shared" si="5"/>
        <v>-4.2468309402465825E-9</v>
      </c>
      <c r="T18" s="101">
        <f t="shared" si="5"/>
        <v>-4.2468309402465825E-9</v>
      </c>
      <c r="U18" s="101">
        <f t="shared" si="5"/>
        <v>-4.2468309402465825E-9</v>
      </c>
      <c r="V18" s="101">
        <f t="shared" si="5"/>
        <v>-4.2468309402465825E-9</v>
      </c>
      <c r="W18" s="101">
        <f t="shared" si="5"/>
        <v>-4.2468309402465825E-9</v>
      </c>
      <c r="X18" s="90">
        <f>SUM(C18:W18)</f>
        <v>33475399456.576046</v>
      </c>
    </row>
    <row r="19" spans="1:24" ht="15" customHeight="1" x14ac:dyDescent="0.2">
      <c r="A19" s="22" t="s">
        <v>607</v>
      </c>
      <c r="B19" s="4" t="s">
        <v>88</v>
      </c>
      <c r="C19" s="63">
        <f>C18</f>
        <v>-378000000</v>
      </c>
      <c r="D19" s="63">
        <f t="shared" ref="D19:W19" si="6">C19+D18</f>
        <v>321591771.223979</v>
      </c>
      <c r="E19" s="63">
        <f t="shared" si="6"/>
        <v>2314214726.103169</v>
      </c>
      <c r="F19" s="63">
        <f t="shared" si="6"/>
        <v>5469432034.1254787</v>
      </c>
      <c r="G19" s="63">
        <f t="shared" si="6"/>
        <v>9172149547.5691929</v>
      </c>
      <c r="H19" s="63">
        <f t="shared" si="6"/>
        <v>12164858059.742212</v>
      </c>
      <c r="I19" s="63">
        <f t="shared" si="6"/>
        <v>15808922947.25786</v>
      </c>
      <c r="J19" s="63">
        <f t="shared" si="6"/>
        <v>20268300102.827019</v>
      </c>
      <c r="K19" s="63">
        <f t="shared" si="6"/>
        <v>25000636583.281391</v>
      </c>
      <c r="L19" s="63">
        <f t="shared" si="6"/>
        <v>30069572014.209698</v>
      </c>
      <c r="M19" s="63">
        <f t="shared" si="6"/>
        <v>32982385379.799923</v>
      </c>
      <c r="N19" s="63">
        <f t="shared" si="6"/>
        <v>33475399456.576046</v>
      </c>
      <c r="O19" s="63">
        <f t="shared" si="6"/>
        <v>33475399456.576046</v>
      </c>
      <c r="P19" s="63">
        <f t="shared" si="6"/>
        <v>33475399456.576046</v>
      </c>
      <c r="Q19" s="63">
        <f t="shared" si="6"/>
        <v>33475399456.576046</v>
      </c>
      <c r="R19" s="63">
        <f t="shared" si="6"/>
        <v>33475399456.576046</v>
      </c>
      <c r="S19" s="63">
        <f t="shared" si="6"/>
        <v>33475399456.576046</v>
      </c>
      <c r="T19" s="63">
        <f t="shared" si="6"/>
        <v>33475399456.576046</v>
      </c>
      <c r="U19" s="63">
        <f t="shared" si="6"/>
        <v>33475399456.576046</v>
      </c>
      <c r="V19" s="63">
        <f t="shared" si="6"/>
        <v>33475399456.576046</v>
      </c>
      <c r="W19" s="63">
        <f t="shared" si="6"/>
        <v>33475399456.576046</v>
      </c>
      <c r="X19" s="17"/>
    </row>
    <row r="20" spans="1:24" ht="15" customHeight="1" x14ac:dyDescent="0.2">
      <c r="A20" s="17" t="s">
        <v>603</v>
      </c>
      <c r="B20" s="17" t="s">
        <v>88</v>
      </c>
      <c r="C20" s="63">
        <f t="shared" ref="C20:W20" si="7">C11</f>
        <v>-920000000</v>
      </c>
      <c r="D20" s="63">
        <f t="shared" si="7"/>
        <v>743750263.1025573</v>
      </c>
      <c r="E20" s="63">
        <f t="shared" si="7"/>
        <v>2083158912.2233844</v>
      </c>
      <c r="F20" s="63">
        <f t="shared" si="7"/>
        <v>3242529606.325943</v>
      </c>
      <c r="G20" s="63">
        <f t="shared" si="7"/>
        <v>3786816906.137536</v>
      </c>
      <c r="H20" s="63">
        <f t="shared" si="7"/>
        <v>3276896669.5383606</v>
      </c>
      <c r="I20" s="63">
        <f t="shared" si="7"/>
        <v>3702018574.7788873</v>
      </c>
      <c r="J20" s="63">
        <f t="shared" si="7"/>
        <v>4514140766.9255676</v>
      </c>
      <c r="K20" s="63">
        <f t="shared" si="7"/>
        <v>4783913208.5823202</v>
      </c>
      <c r="L20" s="63">
        <f t="shared" si="7"/>
        <v>5068935430.9283066</v>
      </c>
      <c r="M20" s="63">
        <f t="shared" si="7"/>
        <v>2912813365.5902252</v>
      </c>
      <c r="N20" s="63">
        <f t="shared" si="7"/>
        <v>493014076.77612364</v>
      </c>
      <c r="O20" s="63">
        <f t="shared" si="7"/>
        <v>0</v>
      </c>
      <c r="P20" s="63">
        <f t="shared" si="7"/>
        <v>0</v>
      </c>
      <c r="Q20" s="63">
        <f t="shared" si="7"/>
        <v>0</v>
      </c>
      <c r="R20" s="63">
        <f t="shared" si="7"/>
        <v>0</v>
      </c>
      <c r="S20" s="63">
        <f t="shared" si="7"/>
        <v>0</v>
      </c>
      <c r="T20" s="63">
        <f t="shared" si="7"/>
        <v>0</v>
      </c>
      <c r="U20" s="63">
        <f t="shared" si="7"/>
        <v>0</v>
      </c>
      <c r="V20" s="63">
        <f t="shared" si="7"/>
        <v>0</v>
      </c>
      <c r="W20" s="63">
        <f t="shared" si="7"/>
        <v>0</v>
      </c>
      <c r="X20" s="63">
        <f>SUM(C20:W20)</f>
        <v>33687987780.90921</v>
      </c>
    </row>
    <row r="21" spans="1:24" ht="15" customHeight="1" x14ac:dyDescent="0.2">
      <c r="A21" s="55" t="s">
        <v>258</v>
      </c>
      <c r="B21" s="44">
        <f>IFERROR(IRR(C11:W11),"N/A")</f>
        <v>1.5877773429214854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ht="15" customHeight="1" x14ac:dyDescent="0.2">
      <c r="A22" s="55" t="s">
        <v>260</v>
      </c>
      <c r="B22" s="44">
        <f>IFERROR(IRR(C18:W18),"N/A")</f>
        <v>2.9365619414640913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ht="15" customHeight="1" x14ac:dyDescent="0.2">
      <c r="A23" s="55" t="s">
        <v>608</v>
      </c>
      <c r="B23" s="37">
        <f>IFERROR(NPV(Assumptions!E47,D11:W11)+C11,"N/A")</f>
        <v>13048073523.803513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ht="15" customHeight="1" x14ac:dyDescent="0.2">
      <c r="A24" s="55" t="s">
        <v>265</v>
      </c>
      <c r="B24" s="61">
        <f>IFERROR(MATCH(TRUE(),INDEX(C12:W12&gt;0,0),0)-1,"N/A")</f>
        <v>2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ht="15" customHeight="1" x14ac:dyDescent="0.2">
      <c r="A25" s="17"/>
      <c r="B25" s="17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17"/>
    </row>
    <row r="26" spans="1:24" ht="15" customHeight="1" x14ac:dyDescent="0.2">
      <c r="A26" s="55" t="s">
        <v>609</v>
      </c>
      <c r="B26" s="37">
        <f>IFERROR(NPV(Assumptions!B95,D18:W18)+C18,"N/A")</f>
        <v>10176949166.619436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5" customHeight="1" x14ac:dyDescent="0.2">
      <c r="A27" s="17"/>
      <c r="B27" s="44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1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1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1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1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X3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610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 customHeight="1" x14ac:dyDescent="0.2">
      <c r="A3" s="72"/>
      <c r="B3" s="72"/>
      <c r="C3" s="72" t="s">
        <v>304</v>
      </c>
      <c r="D3" s="72" t="s">
        <v>305</v>
      </c>
      <c r="E3" s="72" t="s">
        <v>306</v>
      </c>
      <c r="F3" s="72" t="s">
        <v>307</v>
      </c>
      <c r="G3" s="72" t="s">
        <v>308</v>
      </c>
      <c r="H3" s="72" t="s">
        <v>309</v>
      </c>
      <c r="I3" s="72" t="s">
        <v>310</v>
      </c>
      <c r="J3" s="72" t="s">
        <v>311</v>
      </c>
      <c r="K3" s="72" t="s">
        <v>312</v>
      </c>
      <c r="L3" s="72" t="s">
        <v>313</v>
      </c>
      <c r="M3" s="72" t="s">
        <v>314</v>
      </c>
      <c r="N3" s="72" t="s">
        <v>315</v>
      </c>
      <c r="O3" s="72" t="s">
        <v>316</v>
      </c>
      <c r="P3" s="72" t="s">
        <v>317</v>
      </c>
      <c r="Q3" s="72" t="s">
        <v>318</v>
      </c>
      <c r="R3" s="72" t="s">
        <v>319</v>
      </c>
      <c r="S3" s="72" t="s">
        <v>320</v>
      </c>
      <c r="T3" s="72" t="s">
        <v>321</v>
      </c>
      <c r="U3" s="72" t="s">
        <v>322</v>
      </c>
      <c r="V3" s="72" t="s">
        <v>323</v>
      </c>
      <c r="W3" s="72" t="s">
        <v>324</v>
      </c>
      <c r="X3" s="103" t="s">
        <v>124</v>
      </c>
    </row>
    <row r="4" spans="1:24" ht="1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5" customHeight="1" x14ac:dyDescent="0.2">
      <c r="A5" s="22" t="s">
        <v>611</v>
      </c>
      <c r="B5" s="17"/>
      <c r="C5" s="118" t="str">
        <f>IF('Income Statement'!C17=0,"–",'Debt Schedule'!C25/'Income Statement'!C17)</f>
        <v>–</v>
      </c>
      <c r="D5" s="118">
        <f>IF('Income Statement'!D17=0,"–",'Debt Schedule'!D25/'Income Statement'!D17)</f>
        <v>0.29164631332117286</v>
      </c>
      <c r="E5" s="118">
        <f>IF('Income Statement'!E17=0,"–",'Debt Schedule'!E25/'Income Statement'!E17)</f>
        <v>0.12538251064394992</v>
      </c>
      <c r="F5" s="118">
        <f>IF('Income Statement'!F17=0,"–",'Debt Schedule'!F25/'Income Statement'!F17)</f>
        <v>8.5149809470346866E-2</v>
      </c>
      <c r="G5" s="118">
        <f>IF('Income Statement'!G17=0,"–",'Debt Schedule'!G25/'Income Statement'!G17)</f>
        <v>7.1539643171431966E-2</v>
      </c>
      <c r="H5" s="118">
        <f>IF('Income Statement'!H17=0,"–",'Debt Schedule'!H25/'Income Statement'!H17)</f>
        <v>3.5055445005975752E-2</v>
      </c>
      <c r="I5" s="118">
        <f>IF('Income Statement'!I17=0,"–",'Debt Schedule'!I25/'Income Statement'!I17)</f>
        <v>1.550568646222119E-2</v>
      </c>
      <c r="J5" s="118">
        <f>IF('Income Statement'!J17=0,"–",'Debt Schedule'!J25/'Income Statement'!J17)</f>
        <v>7.31072688867054E-3</v>
      </c>
      <c r="K5" s="118">
        <f>IF('Income Statement'!K17=0,"–",'Debt Schedule'!K25/'Income Statement'!K17)</f>
        <v>6.3695200925035709E-18</v>
      </c>
      <c r="L5" s="118">
        <f>IF('Income Statement'!L17=0,"–",'Debt Schedule'!L25/'Income Statement'!L17)</f>
        <v>6.0086447328389333E-18</v>
      </c>
      <c r="M5" s="118">
        <f>IF('Income Statement'!M17=0,"–",'Debt Schedule'!M25/'Income Statement'!M17)</f>
        <v>2.8232664261059087E-17</v>
      </c>
      <c r="N5" s="118" t="str">
        <f>IF('Income Statement'!N17=0,"–",'Debt Schedule'!N25/'Income Statement'!N17)</f>
        <v>–</v>
      </c>
      <c r="O5" s="118" t="str">
        <f>IF('Income Statement'!O17=0,"–",'Debt Schedule'!O25/'Income Statement'!O17)</f>
        <v>–</v>
      </c>
      <c r="P5" s="118" t="str">
        <f>IF('Income Statement'!P17=0,"–",'Debt Schedule'!P25/'Income Statement'!P17)</f>
        <v>–</v>
      </c>
      <c r="Q5" s="118" t="str">
        <f>IF('Income Statement'!Q17=0,"–",'Debt Schedule'!Q25/'Income Statement'!Q17)</f>
        <v>–</v>
      </c>
      <c r="R5" s="118" t="str">
        <f>IF('Income Statement'!R17=0,"–",'Debt Schedule'!R25/'Income Statement'!R17)</f>
        <v>–</v>
      </c>
      <c r="S5" s="118" t="str">
        <f>IF('Income Statement'!S17=0,"–",'Debt Schedule'!S25/'Income Statement'!S17)</f>
        <v>–</v>
      </c>
      <c r="T5" s="118" t="str">
        <f>IF('Income Statement'!T17=0,"–",'Debt Schedule'!T25/'Income Statement'!T17)</f>
        <v>–</v>
      </c>
      <c r="U5" s="118" t="str">
        <f>IF('Income Statement'!U17=0,"–",'Debt Schedule'!U25/'Income Statement'!U17)</f>
        <v>–</v>
      </c>
      <c r="V5" s="118" t="str">
        <f>IF('Income Statement'!V17=0,"–",'Debt Schedule'!V25/'Income Statement'!V17)</f>
        <v>–</v>
      </c>
      <c r="W5" s="118" t="str">
        <f>IF('Income Statement'!W17=0,"–",'Debt Schedule'!W25/'Income Statement'!W17)</f>
        <v>–</v>
      </c>
      <c r="X5" s="17"/>
    </row>
    <row r="6" spans="1:24" ht="15" customHeight="1" x14ac:dyDescent="0.2">
      <c r="A6" s="22" t="s">
        <v>612</v>
      </c>
      <c r="B6" s="17"/>
      <c r="C6" s="119" t="str">
        <f>IF(ABS('Debt Schedule'!C10)+ABS('Debt Schedule'!C20)=0,"–",'Income Statement'!C17/(ABS('Debt Schedule'!C10)+ABS('Debt Schedule'!C20)))</f>
        <v>–</v>
      </c>
      <c r="D6" s="119">
        <f>IF(ABS('Debt Schedule'!D10)+ABS('Debt Schedule'!D20)=0,"–",'Income Statement'!D17/(ABS('Debt Schedule'!D10)+ABS('Debt Schedule'!D20)))</f>
        <v>30.648587270808477</v>
      </c>
      <c r="E6" s="119">
        <f>IF(ABS('Debt Schedule'!E10)+ABS('Debt Schedule'!E20)=0,"–",'Income Statement'!E17/(ABS('Debt Schedule'!E10)+ABS('Debt Schedule'!E20)))</f>
        <v>36.107882304837496</v>
      </c>
      <c r="F6" s="119">
        <f>IF(ABS('Debt Schedule'!F10)+ABS('Debt Schedule'!F20)=0,"–",'Income Statement'!F17/(ABS('Debt Schedule'!F10)+ABS('Debt Schedule'!F20)))</f>
        <v>50.06713108770812</v>
      </c>
      <c r="G6" s="119">
        <f>IF(ABS('Debt Schedule'!G10)+ABS('Debt Schedule'!G20)=0,"–",'Income Statement'!G17/(ABS('Debt Schedule'!G10)+ABS('Debt Schedule'!G20)))</f>
        <v>55.560718688672168</v>
      </c>
      <c r="H6" s="119">
        <f>IF(ABS('Debt Schedule'!H10)+ABS('Debt Schedule'!H20)=0,"–",'Income Statement'!H17/(ABS('Debt Schedule'!H10)+ABS('Debt Schedule'!H20)))</f>
        <v>13.874629829240144</v>
      </c>
      <c r="I6" s="119">
        <f>IF(ABS('Debt Schedule'!I10)+ABS('Debt Schedule'!I20)=0,"–",'Income Statement'!I17/(ABS('Debt Schedule'!I10)+ABS('Debt Schedule'!I20)))</f>
        <v>100.37738330741911</v>
      </c>
      <c r="J6" s="119">
        <f>IF(ABS('Debt Schedule'!J10)+ABS('Debt Schedule'!J20)=0,"–",'Income Statement'!J17/(ABS('Debt Schedule'!J10)+ABS('Debt Schedule'!J20)))</f>
        <v>114.94563362174755</v>
      </c>
      <c r="K6" s="119">
        <f>IF(ABS('Debt Schedule'!K10)+ABS('Debt Schedule'!K20)=0,"–",'Income Statement'!K17/(ABS('Debt Schedule'!K10)+ABS('Debt Schedule'!K20)))</f>
        <v>132.44612984945425</v>
      </c>
      <c r="L6" s="119">
        <f>IF(ABS('Debt Schedule'!L10)+ABS('Debt Schedule'!L20)=0,"–",'Income Statement'!L17/(ABS('Debt Schedule'!L10)+ABS('Debt Schedule'!L20)))</f>
        <v>1.7518619018935181E+18</v>
      </c>
      <c r="M6" s="119">
        <f>IF(ABS('Debt Schedule'!M10)+ABS('Debt Schedule'!M20)=0,"–",'Income Statement'!M17/(ABS('Debt Schedule'!M10)+ABS('Debt Schedule'!M20)))</f>
        <v>3.7284174430510554E+17</v>
      </c>
      <c r="N6" s="119">
        <f>IF(ABS('Debt Schedule'!N10)+ABS('Debt Schedule'!N20)=0,"–",'Income Statement'!N17/(ABS('Debt Schedule'!N10)+ABS('Debt Schedule'!N20)))</f>
        <v>0</v>
      </c>
      <c r="O6" s="119">
        <f>IF(ABS('Debt Schedule'!O10)+ABS('Debt Schedule'!O20)=0,"–",'Income Statement'!O17/(ABS('Debt Schedule'!O10)+ABS('Debt Schedule'!O20)))</f>
        <v>0</v>
      </c>
      <c r="P6" s="119">
        <f>IF(ABS('Debt Schedule'!P10)+ABS('Debt Schedule'!P20)=0,"–",'Income Statement'!P17/(ABS('Debt Schedule'!P10)+ABS('Debt Schedule'!P20)))</f>
        <v>0</v>
      </c>
      <c r="Q6" s="119">
        <f>IF(ABS('Debt Schedule'!Q10)+ABS('Debt Schedule'!Q20)=0,"–",'Income Statement'!Q17/(ABS('Debt Schedule'!Q10)+ABS('Debt Schedule'!Q20)))</f>
        <v>0</v>
      </c>
      <c r="R6" s="119">
        <f>IF(ABS('Debt Schedule'!R10)+ABS('Debt Schedule'!R20)=0,"–",'Income Statement'!R17/(ABS('Debt Schedule'!R10)+ABS('Debt Schedule'!R20)))</f>
        <v>0</v>
      </c>
      <c r="S6" s="119">
        <f>IF(ABS('Debt Schedule'!S10)+ABS('Debt Schedule'!S20)=0,"–",'Income Statement'!S17/(ABS('Debt Schedule'!S10)+ABS('Debt Schedule'!S20)))</f>
        <v>0</v>
      </c>
      <c r="T6" s="119">
        <f>IF(ABS('Debt Schedule'!T10)+ABS('Debt Schedule'!T20)=0,"–",'Income Statement'!T17/(ABS('Debt Schedule'!T10)+ABS('Debt Schedule'!T20)))</f>
        <v>0</v>
      </c>
      <c r="U6" s="119">
        <f>IF(ABS('Debt Schedule'!U10)+ABS('Debt Schedule'!U20)=0,"–",'Income Statement'!U17/(ABS('Debt Schedule'!U10)+ABS('Debt Schedule'!U20)))</f>
        <v>0</v>
      </c>
      <c r="V6" s="119">
        <f>IF(ABS('Debt Schedule'!V10)+ABS('Debt Schedule'!V20)=0,"–",'Income Statement'!V17/(ABS('Debt Schedule'!V10)+ABS('Debt Schedule'!V20)))</f>
        <v>0</v>
      </c>
      <c r="W6" s="119">
        <f>IF(ABS('Debt Schedule'!W10)+ABS('Debt Schedule'!W20)=0,"–",'Income Statement'!W17/(ABS('Debt Schedule'!W10)+ABS('Debt Schedule'!W20)))</f>
        <v>0</v>
      </c>
      <c r="X6" s="17"/>
    </row>
    <row r="7" spans="1:24" ht="15" customHeight="1" x14ac:dyDescent="0.2">
      <c r="A7" s="22" t="s">
        <v>613</v>
      </c>
      <c r="B7" s="17"/>
      <c r="C7" s="118" t="str">
        <f>IF('Debt Schedule'!C10=0,"–",'Income Statement'!C20/ABS('Debt Schedule'!C10))</f>
        <v>–</v>
      </c>
      <c r="D7" s="118">
        <f>IF('Debt Schedule'!D10=0,"–",'Income Statement'!D20/ABS('Debt Schedule'!D10))</f>
        <v>29.131343048086919</v>
      </c>
      <c r="E7" s="118">
        <f>IF('Debt Schedule'!E10=0,"–",'Income Statement'!E20/ABS('Debt Schedule'!E10))</f>
        <v>63.407782778714093</v>
      </c>
      <c r="F7" s="118">
        <f>IF('Debt Schedule'!F10=0,"–",'Income Statement'!F20/ABS('Debt Schedule'!F10))</f>
        <v>91.661279685841123</v>
      </c>
      <c r="G7" s="118">
        <f>IF('Debt Schedule'!G10=0,"–",'Income Statement'!G20/ABS('Debt Schedule'!G10))</f>
        <v>106.02263203921234</v>
      </c>
      <c r="H7" s="118">
        <f>IF('Debt Schedule'!H10=0,"–",'Income Statement'!H20/ABS('Debt Schedule'!H10))</f>
        <v>86.405386574098529</v>
      </c>
      <c r="I7" s="118">
        <f>IF('Debt Schedule'!I10=0,"–",'Income Statement'!I20/ABS('Debt Schedule'!I10))</f>
        <v>445.05985726754824</v>
      </c>
      <c r="J7" s="118">
        <f>IF('Debt Schedule'!J10=0,"–",'Income Statement'!J20/ABS('Debt Schedule'!J10))</f>
        <v>708.54646313220712</v>
      </c>
      <c r="K7" s="118">
        <f>IF('Debt Schedule'!K10=0,"–",'Income Statement'!K20/ABS('Debt Schedule'!K10))</f>
        <v>1503.6677724675187</v>
      </c>
      <c r="L7" s="118">
        <f>IF('Debt Schedule'!L10=0,"–",'Income Statement'!L20/ABS('Debt Schedule'!L10))</f>
        <v>1.7268079260001846E+18</v>
      </c>
      <c r="M7" s="118">
        <f>IF('Debt Schedule'!M10=0,"–",'Income Statement'!M20/ABS('Debt Schedule'!M10))</f>
        <v>3.4757584568335117E+17</v>
      </c>
      <c r="N7" s="118">
        <f>IF('Debt Schedule'!N10=0,"–",'Income Statement'!N20/ABS('Debt Schedule'!N10))</f>
        <v>0</v>
      </c>
      <c r="O7" s="118">
        <f>IF('Debt Schedule'!O10=0,"–",'Income Statement'!O20/ABS('Debt Schedule'!O10))</f>
        <v>0</v>
      </c>
      <c r="P7" s="118">
        <f>IF('Debt Schedule'!P10=0,"–",'Income Statement'!P20/ABS('Debt Schedule'!P10))</f>
        <v>0</v>
      </c>
      <c r="Q7" s="118">
        <f>IF('Debt Schedule'!Q10=0,"–",'Income Statement'!Q20/ABS('Debt Schedule'!Q10))</f>
        <v>0</v>
      </c>
      <c r="R7" s="118">
        <f>IF('Debt Schedule'!R10=0,"–",'Income Statement'!R20/ABS('Debt Schedule'!R10))</f>
        <v>0</v>
      </c>
      <c r="S7" s="118">
        <f>IF('Debt Schedule'!S10=0,"–",'Income Statement'!S20/ABS('Debt Schedule'!S10))</f>
        <v>0</v>
      </c>
      <c r="T7" s="118">
        <f>IF('Debt Schedule'!T10=0,"–",'Income Statement'!T20/ABS('Debt Schedule'!T10))</f>
        <v>0</v>
      </c>
      <c r="U7" s="118">
        <f>IF('Debt Schedule'!U10=0,"–",'Income Statement'!U20/ABS('Debt Schedule'!U10))</f>
        <v>0</v>
      </c>
      <c r="V7" s="118">
        <f>IF('Debt Schedule'!V10=0,"–",'Income Statement'!V20/ABS('Debt Schedule'!V10))</f>
        <v>0</v>
      </c>
      <c r="W7" s="118">
        <f>IF('Debt Schedule'!W10=0,"–",'Income Statement'!W20/ABS('Debt Schedule'!W10))</f>
        <v>0</v>
      </c>
      <c r="X7" s="17"/>
    </row>
    <row r="8" spans="1:24" ht="15" customHeight="1" x14ac:dyDescent="0.2">
      <c r="A8" s="22" t="s">
        <v>614</v>
      </c>
      <c r="B8" s="17"/>
      <c r="C8" s="118" t="str">
        <f>IF('Balance Sheet'!C18=0,"–",'Balance Sheet'!C9/'Balance Sheet'!C18)</f>
        <v>–</v>
      </c>
      <c r="D8" s="118">
        <f>IF('Balance Sheet'!D18=0,"–",'Balance Sheet'!D9/'Balance Sheet'!D18)</f>
        <v>3.680587235553844</v>
      </c>
      <c r="E8" s="118">
        <f>IF('Balance Sheet'!E18=0,"–",'Balance Sheet'!E9/'Balance Sheet'!E18)</f>
        <v>4.1575393888354855</v>
      </c>
      <c r="F8" s="118">
        <f>IF('Balance Sheet'!F18=0,"–",'Balance Sheet'!F9/'Balance Sheet'!F18)</f>
        <v>4.2961512648244824</v>
      </c>
      <c r="G8" s="118">
        <f>IF('Balance Sheet'!G18=0,"–",'Balance Sheet'!G9/'Balance Sheet'!G18)</f>
        <v>3.1310271199523192</v>
      </c>
      <c r="H8" s="118">
        <f>IF('Balance Sheet'!H18=0,"–",'Balance Sheet'!H9/'Balance Sheet'!H18)</f>
        <v>4.2218452331778193</v>
      </c>
      <c r="I8" s="118">
        <f>IF('Balance Sheet'!I18=0,"–",'Balance Sheet'!I9/'Balance Sheet'!I18)</f>
        <v>4.411604712068864</v>
      </c>
      <c r="J8" s="118">
        <f>IF('Balance Sheet'!J18=0,"–",'Balance Sheet'!J9/'Balance Sheet'!J18)</f>
        <v>4.449759980072062</v>
      </c>
      <c r="K8" s="118">
        <f>IF('Balance Sheet'!K18=0,"–",'Balance Sheet'!K9/'Balance Sheet'!K18)</f>
        <v>4.8727460975212056</v>
      </c>
      <c r="L8" s="118">
        <f>IF('Balance Sheet'!L18=0,"–",'Balance Sheet'!L9/'Balance Sheet'!L18)</f>
        <v>4.8985175353899413</v>
      </c>
      <c r="M8" s="118">
        <f>IF('Balance Sheet'!M18=0,"–",'Balance Sheet'!M9/'Balance Sheet'!M18)</f>
        <v>4.9560227575566271</v>
      </c>
      <c r="N8" s="118" t="str">
        <f>IF('Balance Sheet'!N18=0,"–",'Balance Sheet'!N9/'Balance Sheet'!N18)</f>
        <v>–</v>
      </c>
      <c r="O8" s="118" t="str">
        <f>IF('Balance Sheet'!O18=0,"–",'Balance Sheet'!O9/'Balance Sheet'!O18)</f>
        <v>–</v>
      </c>
      <c r="P8" s="118" t="str">
        <f>IF('Balance Sheet'!P18=0,"–",'Balance Sheet'!P9/'Balance Sheet'!P18)</f>
        <v>–</v>
      </c>
      <c r="Q8" s="118" t="str">
        <f>IF('Balance Sheet'!Q18=0,"–",'Balance Sheet'!Q9/'Balance Sheet'!Q18)</f>
        <v>–</v>
      </c>
      <c r="R8" s="118" t="str">
        <f>IF('Balance Sheet'!R18=0,"–",'Balance Sheet'!R9/'Balance Sheet'!R18)</f>
        <v>–</v>
      </c>
      <c r="S8" s="118" t="str">
        <f>IF('Balance Sheet'!S18=0,"–",'Balance Sheet'!S9/'Balance Sheet'!S18)</f>
        <v>–</v>
      </c>
      <c r="T8" s="118" t="str">
        <f>IF('Balance Sheet'!T18=0,"–",'Balance Sheet'!T9/'Balance Sheet'!T18)</f>
        <v>–</v>
      </c>
      <c r="U8" s="118" t="str">
        <f>IF('Balance Sheet'!U18=0,"–",'Balance Sheet'!U9/'Balance Sheet'!U18)</f>
        <v>–</v>
      </c>
      <c r="V8" s="118" t="str">
        <f>IF('Balance Sheet'!V18=0,"–",'Balance Sheet'!V9/'Balance Sheet'!V18)</f>
        <v>–</v>
      </c>
      <c r="W8" s="118" t="str">
        <f>IF('Balance Sheet'!W18=0,"–",'Balance Sheet'!W9/'Balance Sheet'!W18)</f>
        <v>–</v>
      </c>
      <c r="X8" s="17"/>
    </row>
    <row r="9" spans="1:24" ht="15" customHeight="1" x14ac:dyDescent="0.2">
      <c r="A9" s="22" t="s">
        <v>615</v>
      </c>
      <c r="B9" s="17"/>
      <c r="C9" s="45" t="str">
        <f>'Income Statement'!C18</f>
        <v>–</v>
      </c>
      <c r="D9" s="45">
        <f>'Income Statement'!D18</f>
        <v>0.48441632570025589</v>
      </c>
      <c r="E9" s="45">
        <f>'Income Statement'!E18</f>
        <v>0.49376107173828876</v>
      </c>
      <c r="F9" s="45">
        <f>'Income Statement'!F18</f>
        <v>0.49935611725222362</v>
      </c>
      <c r="G9" s="45">
        <f>'Income Statement'!G18</f>
        <v>0.50423839755142374</v>
      </c>
      <c r="H9" s="45">
        <f>'Income Statement'!H18</f>
        <v>0.50765057239904887</v>
      </c>
      <c r="I9" s="45">
        <f>'Income Statement'!I18</f>
        <v>0.51408275543612536</v>
      </c>
      <c r="J9" s="45">
        <f>'Income Statement'!J18</f>
        <v>0.51891482912921894</v>
      </c>
      <c r="K9" s="45">
        <f>'Income Statement'!K18</f>
        <v>0.52368801757336547</v>
      </c>
      <c r="L9" s="45">
        <f>'Income Statement'!L18</f>
        <v>0.52840318386648033</v>
      </c>
      <c r="M9" s="45">
        <f>'Income Statement'!M18</f>
        <v>0.51991646294063198</v>
      </c>
      <c r="N9" s="45" t="str">
        <f>'Income Statement'!N18</f>
        <v>–</v>
      </c>
      <c r="O9" s="45" t="str">
        <f>'Income Statement'!O18</f>
        <v>–</v>
      </c>
      <c r="P9" s="45" t="str">
        <f>'Income Statement'!P18</f>
        <v>–</v>
      </c>
      <c r="Q9" s="45" t="str">
        <f>'Income Statement'!Q18</f>
        <v>–</v>
      </c>
      <c r="R9" s="45" t="str">
        <f>'Income Statement'!R18</f>
        <v>–</v>
      </c>
      <c r="S9" s="45" t="str">
        <f>'Income Statement'!S18</f>
        <v>–</v>
      </c>
      <c r="T9" s="45" t="str">
        <f>'Income Statement'!T18</f>
        <v>–</v>
      </c>
      <c r="U9" s="45" t="str">
        <f>'Income Statement'!U18</f>
        <v>–</v>
      </c>
      <c r="V9" s="45" t="str">
        <f>'Income Statement'!V18</f>
        <v>–</v>
      </c>
      <c r="W9" s="45" t="str">
        <f>'Income Statement'!W18</f>
        <v>–</v>
      </c>
      <c r="X9" s="17"/>
    </row>
    <row r="10" spans="1:24" ht="15" customHeight="1" x14ac:dyDescent="0.2">
      <c r="A10" s="22" t="s">
        <v>616</v>
      </c>
      <c r="B10" s="17"/>
      <c r="C10" s="45" t="str">
        <f>'Income Statement'!C31</f>
        <v>–</v>
      </c>
      <c r="D10" s="45">
        <f>'Income Statement'!D31</f>
        <v>0.38846917328145708</v>
      </c>
      <c r="E10" s="45">
        <f>'Income Statement'!E31</f>
        <v>0.32742299470797254</v>
      </c>
      <c r="F10" s="45">
        <f>'Income Statement'!F31</f>
        <v>0.334634979384623</v>
      </c>
      <c r="G10" s="45">
        <f>'Income Statement'!G31</f>
        <v>0.33856191910180555</v>
      </c>
      <c r="H10" s="45">
        <f>'Income Statement'!H31</f>
        <v>0.3387554711447972</v>
      </c>
      <c r="I10" s="45">
        <f>'Income Statement'!I31</f>
        <v>0.34734718024618311</v>
      </c>
      <c r="J10" s="45">
        <f>'Income Statement'!J31</f>
        <v>0.35107007137655039</v>
      </c>
      <c r="K10" s="45">
        <f>'Income Statement'!K31</f>
        <v>0.3547201993483261</v>
      </c>
      <c r="L10" s="45">
        <f>'Income Statement'!L31</f>
        <v>0.35830018988661644</v>
      </c>
      <c r="M10" s="45">
        <f>'Income Statement'!M31</f>
        <v>0.33141578257278737</v>
      </c>
      <c r="N10" s="45" t="str">
        <f>'Income Statement'!N31</f>
        <v>–</v>
      </c>
      <c r="O10" s="45" t="str">
        <f>'Income Statement'!O31</f>
        <v>–</v>
      </c>
      <c r="P10" s="45" t="str">
        <f>'Income Statement'!P31</f>
        <v>–</v>
      </c>
      <c r="Q10" s="45" t="str">
        <f>'Income Statement'!Q31</f>
        <v>–</v>
      </c>
      <c r="R10" s="45" t="str">
        <f>'Income Statement'!R31</f>
        <v>–</v>
      </c>
      <c r="S10" s="45" t="str">
        <f>'Income Statement'!S31</f>
        <v>–</v>
      </c>
      <c r="T10" s="45" t="str">
        <f>'Income Statement'!T31</f>
        <v>–</v>
      </c>
      <c r="U10" s="45" t="str">
        <f>'Income Statement'!U31</f>
        <v>–</v>
      </c>
      <c r="V10" s="45" t="str">
        <f>'Income Statement'!V31</f>
        <v>–</v>
      </c>
      <c r="W10" s="45" t="str">
        <f>'Income Statement'!W31</f>
        <v>–</v>
      </c>
      <c r="X10" s="17"/>
    </row>
    <row r="11" spans="1:24" ht="15" customHeight="1" x14ac:dyDescent="0.2">
      <c r="A11" s="22" t="s">
        <v>617</v>
      </c>
      <c r="B11" s="17"/>
      <c r="C11" s="44">
        <f>IF('Balance Sheet'!C24+'Debt Schedule'!C25=0,"–",'Income Statement'!C20*(1-Assumptions!E14)/('Balance Sheet'!C24+'Debt Schedule'!C25))</f>
        <v>0</v>
      </c>
      <c r="D11" s="44">
        <f>IF('Balance Sheet'!D24+'Debt Schedule'!D25=0,"–",'Income Statement'!D20*(1-Assumptions!E14)/('Balance Sheet'!D24+'Debt Schedule'!D25))</f>
        <v>1.0265884119081476</v>
      </c>
      <c r="E11" s="44">
        <f>IF('Balance Sheet'!E24+'Debt Schedule'!E25=0,"–",'Income Statement'!E20*(1-Assumptions!E14)/('Balance Sheet'!E24+'Debt Schedule'!E25))</f>
        <v>1.4907054271475235</v>
      </c>
      <c r="F11" s="44">
        <f>IF('Balance Sheet'!F24+'Debt Schedule'!F25=0,"–",'Income Statement'!F20*(1-Assumptions!E14)/('Balance Sheet'!F24+'Debt Schedule'!F25))</f>
        <v>1.6711220200145012</v>
      </c>
      <c r="G11" s="44">
        <f>IF('Balance Sheet'!G24+'Debt Schedule'!G25=0,"–",'Income Statement'!G20*(1-Assumptions!E14)/('Balance Sheet'!G24+'Debt Schedule'!G25))</f>
        <v>1.7461750879944677</v>
      </c>
      <c r="H11" s="44">
        <f>IF('Balance Sheet'!H24+'Debt Schedule'!H25=0,"–",'Income Statement'!H20*(1-Assumptions!E14)/('Balance Sheet'!H24+'Debt Schedule'!H25))</f>
        <v>1.6149793106498105</v>
      </c>
      <c r="I11" s="44">
        <f>IF('Balance Sheet'!I24+'Debt Schedule'!I25=0,"–",'Income Statement'!I20*(1-Assumptions!E14)/('Balance Sheet'!I24+'Debt Schedule'!I25))</f>
        <v>1.8477185104739255</v>
      </c>
      <c r="J11" s="44">
        <f>IF('Balance Sheet'!J24+'Debt Schedule'!J25=0,"–",'Income Statement'!J20*(1-Assumptions!E14)/('Balance Sheet'!J24+'Debt Schedule'!J25))</f>
        <v>1.9263983181143676</v>
      </c>
      <c r="K11" s="44">
        <f>IF('Balance Sheet'!K24+'Debt Schedule'!K25=0,"–",'Income Statement'!K20*(1-Assumptions!E14)/('Balance Sheet'!K24+'Debt Schedule'!K25))</f>
        <v>2.0043901767786303</v>
      </c>
      <c r="L11" s="44">
        <f>IF('Balance Sheet'!L24+'Debt Schedule'!L25=0,"–",'Income Statement'!L20*(1-Assumptions!E14)/('Balance Sheet'!L24+'Debt Schedule'!L25))</f>
        <v>2.0813347510636837</v>
      </c>
      <c r="M11" s="44">
        <f>IF('Balance Sheet'!M24+'Debt Schedule'!M25=0,"–",'Income Statement'!M20*(1-Assumptions!E14)/('Balance Sheet'!M24+'Debt Schedule'!M25))</f>
        <v>1.6862395240119312</v>
      </c>
      <c r="N11" s="44">
        <f>IF('Balance Sheet'!N24+'Debt Schedule'!N25=0,"–",'Income Statement'!N20*(1-Assumptions!E14)/('Balance Sheet'!N24+'Debt Schedule'!N25))</f>
        <v>0</v>
      </c>
      <c r="O11" s="44">
        <f>IF('Balance Sheet'!O24+'Debt Schedule'!O25=0,"–",'Income Statement'!O20*(1-Assumptions!E14)/('Balance Sheet'!O24+'Debt Schedule'!O25))</f>
        <v>0</v>
      </c>
      <c r="P11" s="44">
        <f>IF('Balance Sheet'!P24+'Debt Schedule'!P25=0,"–",'Income Statement'!P20*(1-Assumptions!E14)/('Balance Sheet'!P24+'Debt Schedule'!P25))</f>
        <v>0</v>
      </c>
      <c r="Q11" s="44">
        <f>IF('Balance Sheet'!Q24+'Debt Schedule'!Q25=0,"–",'Income Statement'!Q20*(1-Assumptions!E14)/('Balance Sheet'!Q24+'Debt Schedule'!Q25))</f>
        <v>0</v>
      </c>
      <c r="R11" s="44">
        <f>IF('Balance Sheet'!R24+'Debt Schedule'!R25=0,"–",'Income Statement'!R20*(1-Assumptions!E14)/('Balance Sheet'!R24+'Debt Schedule'!R25))</f>
        <v>0</v>
      </c>
      <c r="S11" s="44">
        <f>IF('Balance Sheet'!S24+'Debt Schedule'!S25=0,"–",'Income Statement'!S20*(1-Assumptions!E14)/('Balance Sheet'!S24+'Debt Schedule'!S25))</f>
        <v>0</v>
      </c>
      <c r="T11" s="44">
        <f>IF('Balance Sheet'!T24+'Debt Schedule'!T25=0,"–",'Income Statement'!T20*(1-Assumptions!E14)/('Balance Sheet'!T24+'Debt Schedule'!T25))</f>
        <v>0</v>
      </c>
      <c r="U11" s="44">
        <f>IF('Balance Sheet'!U24+'Debt Schedule'!U25=0,"–",'Income Statement'!U20*(1-Assumptions!E14)/('Balance Sheet'!U24+'Debt Schedule'!U25))</f>
        <v>0</v>
      </c>
      <c r="V11" s="44">
        <f>IF('Balance Sheet'!V24+'Debt Schedule'!V25=0,"–",'Income Statement'!V20*(1-Assumptions!E14)/('Balance Sheet'!V24+'Debt Schedule'!V25))</f>
        <v>0</v>
      </c>
      <c r="W11" s="44">
        <f>IF('Balance Sheet'!W24+'Debt Schedule'!W25=0,"–",'Income Statement'!W20*(1-Assumptions!E14)/('Balance Sheet'!W24+'Debt Schedule'!W25))</f>
        <v>0</v>
      </c>
      <c r="X11" s="17"/>
    </row>
    <row r="12" spans="1:24" ht="15" customHeight="1" x14ac:dyDescent="0.2">
      <c r="A12" s="22" t="s">
        <v>618</v>
      </c>
      <c r="B12" s="17"/>
      <c r="C12" s="44">
        <f>IF('Balance Sheet'!C24=0,"–",'Income Statement'!C30/'Balance Sheet'!C24)</f>
        <v>-0.43995749202975565</v>
      </c>
      <c r="D12" s="44">
        <f>IF('Balance Sheet'!D24=0,"–",'Income Statement'!D30/'Balance Sheet'!D24)</f>
        <v>2.0870368652721032</v>
      </c>
      <c r="E12" s="44">
        <f>IF('Balance Sheet'!E24=0,"–",'Income Statement'!E30/'Balance Sheet'!E24)</f>
        <v>1.8791952382167654</v>
      </c>
      <c r="F12" s="44">
        <f>IF('Balance Sheet'!F24=0,"–",'Income Statement'!F30/'Balance Sheet'!F24)</f>
        <v>1.9480826588810454</v>
      </c>
      <c r="G12" s="44">
        <f>IF('Balance Sheet'!G24=0,"–",'Income Statement'!G30/'Balance Sheet'!G24)</f>
        <v>1.9776202110062202</v>
      </c>
      <c r="H12" s="44">
        <f>IF('Balance Sheet'!H24=0,"–",'Income Statement'!H30/'Balance Sheet'!H24)</f>
        <v>1.6406682457448383</v>
      </c>
      <c r="I12" s="44">
        <f>IF('Balance Sheet'!I24=0,"–",'Income Statement'!I30/'Balance Sheet'!I24)</f>
        <v>1.8113708413283247</v>
      </c>
      <c r="J12" s="44">
        <f>IF('Balance Sheet'!J24=0,"–",'Income Statement'!J30/'Balance Sheet'!J24)</f>
        <v>1.8502740681726253</v>
      </c>
      <c r="K12" s="44">
        <f>IF('Balance Sheet'!K24=0,"–",'Income Statement'!K30/'Balance Sheet'!K24)</f>
        <v>1.8882112594314213</v>
      </c>
      <c r="L12" s="44">
        <f>IF('Balance Sheet'!L24=0,"–",'Income Statement'!L30/'Balance Sheet'!L24)</f>
        <v>1.9613564255887357</v>
      </c>
      <c r="M12" s="44">
        <f>IF('Balance Sheet'!M24=0,"–",'Income Statement'!M30/'Balance Sheet'!M24)</f>
        <v>1.5794684834189752</v>
      </c>
      <c r="N12" s="44">
        <f>IF('Balance Sheet'!N24=0,"–",'Income Statement'!N30/'Balance Sheet'!N24)</f>
        <v>5.0832841178888191E-4</v>
      </c>
      <c r="O12" s="44">
        <f>IF('Balance Sheet'!O24=0,"–",'Income Statement'!O30/'Balance Sheet'!O24)</f>
        <v>6.324930009597507E-2</v>
      </c>
      <c r="P12" s="44">
        <f>IF('Balance Sheet'!P24=0,"–",'Income Statement'!P30/'Balance Sheet'!P24)</f>
        <v>6.3109422085387668E-2</v>
      </c>
      <c r="Q12" s="44">
        <f>IF('Balance Sheet'!Q24=0,"–",'Income Statement'!Q30/'Balance Sheet'!Q24)</f>
        <v>6.297864326504729E-2</v>
      </c>
      <c r="R12" s="44">
        <f>IF('Balance Sheet'!R24=0,"–",'Income Statement'!R30/'Balance Sheet'!R24)</f>
        <v>6.2856338695094396E-2</v>
      </c>
      <c r="S12" s="44">
        <f>IF('Balance Sheet'!S24=0,"–",'Income Statement'!S30/'Balance Sheet'!S24)</f>
        <v>6.2741930363329465E-2</v>
      </c>
      <c r="T12" s="44">
        <f>IF('Balance Sheet'!T24=0,"–",'Income Statement'!T30/'Balance Sheet'!T24)</f>
        <v>6.2634883181902273E-2</v>
      </c>
      <c r="U12" s="44">
        <f>IF('Balance Sheet'!U24=0,"–",'Income Statement'!U30/'Balance Sheet'!U24)</f>
        <v>6.2534701381359914E-2</v>
      </c>
      <c r="V12" s="44">
        <f>IF('Balance Sheet'!V24=0,"–",'Income Statement'!V30/'Balance Sheet'!V24)</f>
        <v>6.2440925256302501E-2</v>
      </c>
      <c r="W12" s="44">
        <f>IF('Balance Sheet'!W24=0,"–",'Income Statement'!W30/'Balance Sheet'!W24)</f>
        <v>6.2353128222875004E-2</v>
      </c>
      <c r="X12" s="17"/>
    </row>
    <row r="13" spans="1:24" ht="15" customHeight="1" x14ac:dyDescent="0.2">
      <c r="A13" s="22" t="s">
        <v>619</v>
      </c>
      <c r="B13" s="17"/>
      <c r="C13" s="45">
        <f>'SA Tax Computation'!C29</f>
        <v>0</v>
      </c>
      <c r="D13" s="45">
        <f>'SA Tax Computation'!D29</f>
        <v>0.27174764470793861</v>
      </c>
      <c r="E13" s="45">
        <f>'SA Tax Computation'!E29</f>
        <v>0.30498505099940598</v>
      </c>
      <c r="F13" s="45">
        <f>'SA Tax Computation'!F29</f>
        <v>0.30549276810015891</v>
      </c>
      <c r="G13" s="45">
        <f>'SA Tax Computation'!G29</f>
        <v>0.30588219275877349</v>
      </c>
      <c r="H13" s="45">
        <f>'SA Tax Computation'!H29</f>
        <v>0.30524503199845726</v>
      </c>
      <c r="I13" s="45">
        <f>'SA Tax Computation'!I29</f>
        <v>0.30678256393937425</v>
      </c>
      <c r="J13" s="45">
        <f>'SA Tax Computation'!J29</f>
        <v>0.30712325508099186</v>
      </c>
      <c r="K13" s="45">
        <f>'SA Tax Computation'!K29</f>
        <v>0.30745086360411583</v>
      </c>
      <c r="L13" s="45">
        <f>'SA Tax Computation'!L29</f>
        <v>0.30776618297170855</v>
      </c>
      <c r="M13" s="45">
        <f>'SA Tax Computation'!M29</f>
        <v>0.30700707768768842</v>
      </c>
      <c r="N13" s="45">
        <f>'SA Tax Computation'!N29</f>
        <v>0</v>
      </c>
      <c r="O13" s="45">
        <f>'SA Tax Computation'!O29</f>
        <v>0</v>
      </c>
      <c r="P13" s="45">
        <f>'SA Tax Computation'!P29</f>
        <v>0</v>
      </c>
      <c r="Q13" s="45">
        <f>'SA Tax Computation'!Q29</f>
        <v>0</v>
      </c>
      <c r="R13" s="45">
        <f>'SA Tax Computation'!R29</f>
        <v>0</v>
      </c>
      <c r="S13" s="45">
        <f>'SA Tax Computation'!S29</f>
        <v>0</v>
      </c>
      <c r="T13" s="45">
        <f>'SA Tax Computation'!T29</f>
        <v>0</v>
      </c>
      <c r="U13" s="45">
        <f>'SA Tax Computation'!U29</f>
        <v>0</v>
      </c>
      <c r="V13" s="45">
        <f>'SA Tax Computation'!V29</f>
        <v>0</v>
      </c>
      <c r="W13" s="45">
        <f>'SA Tax Computation'!W29</f>
        <v>0</v>
      </c>
      <c r="X13" s="17"/>
    </row>
    <row r="14" spans="1:24" ht="15" customHeight="1" x14ac:dyDescent="0.2">
      <c r="A14" s="22" t="s">
        <v>620</v>
      </c>
      <c r="B14" s="17"/>
      <c r="C14" s="45">
        <f>'Income Statement'!C12</f>
        <v>0</v>
      </c>
      <c r="D14" s="45">
        <f>'Income Statement'!D12</f>
        <v>4.8691737454361721E-2</v>
      </c>
      <c r="E14" s="45">
        <f>'Income Statement'!E12</f>
        <v>4.9406251743742663E-2</v>
      </c>
      <c r="F14" s="45">
        <f>'Income Statement'!F12</f>
        <v>4.9868165232642363E-2</v>
      </c>
      <c r="G14" s="45">
        <f>'Income Statement'!G12</f>
        <v>0.05</v>
      </c>
      <c r="H14" s="45">
        <f>'Income Statement'!H12</f>
        <v>0.05</v>
      </c>
      <c r="I14" s="45">
        <f>'Income Statement'!I12</f>
        <v>0.05</v>
      </c>
      <c r="J14" s="45">
        <f>'Income Statement'!J12</f>
        <v>0.05</v>
      </c>
      <c r="K14" s="45">
        <f>'Income Statement'!K12</f>
        <v>0.05</v>
      </c>
      <c r="L14" s="45">
        <f>'Income Statement'!L12</f>
        <v>0.05</v>
      </c>
      <c r="M14" s="45">
        <f>'Income Statement'!M12</f>
        <v>0.05</v>
      </c>
      <c r="N14" s="45">
        <f>'Income Statement'!N12</f>
        <v>0</v>
      </c>
      <c r="O14" s="45">
        <f>'Income Statement'!O12</f>
        <v>0</v>
      </c>
      <c r="P14" s="45">
        <f>'Income Statement'!P12</f>
        <v>0</v>
      </c>
      <c r="Q14" s="45">
        <f>'Income Statement'!Q12</f>
        <v>0</v>
      </c>
      <c r="R14" s="45">
        <f>'Income Statement'!R12</f>
        <v>0</v>
      </c>
      <c r="S14" s="45">
        <f>'Income Statement'!S12</f>
        <v>0</v>
      </c>
      <c r="T14" s="45">
        <f>'Income Statement'!T12</f>
        <v>0</v>
      </c>
      <c r="U14" s="45">
        <f>'Income Statement'!U12</f>
        <v>0</v>
      </c>
      <c r="V14" s="45">
        <f>'Income Statement'!V12</f>
        <v>0</v>
      </c>
      <c r="W14" s="45">
        <f>'Income Statement'!W12</f>
        <v>0</v>
      </c>
      <c r="X14" s="17"/>
    </row>
    <row r="15" spans="1:24" ht="15" customHeight="1" x14ac:dyDescent="0.2">
      <c r="A15" s="22" t="s">
        <v>621</v>
      </c>
      <c r="B15" s="17"/>
      <c r="C15" s="40" t="str">
        <f>IF(Operations!C12=0,"–",(ABS('Income Statement'!C16)+ABS('Fixed Assets'!C7)+ABS(Exploration!C7))/Operations!C12)</f>
        <v>–</v>
      </c>
      <c r="D15" s="40">
        <f>IF(Operations!D12=0,"–",(ABS('Income Statement'!D16)+ABS('Fixed Assets'!D7)+ABS(Exploration!D7))/Operations!D12)</f>
        <v>757123.77231933863</v>
      </c>
      <c r="E15" s="40">
        <f>IF(Operations!E12=0,"–",(ABS('Income Statement'!E16)+ABS('Fixed Assets'!E7)+ABS(Exploration!E7))/Operations!E12)</f>
        <v>781017.31067527388</v>
      </c>
      <c r="F15" s="40">
        <f>IF(Operations!F12=0,"–",(ABS('Income Statement'!F16)+ABS('Fixed Assets'!F7)+ABS(Exploration!F7))/Operations!F12)</f>
        <v>812861.25234200445</v>
      </c>
      <c r="G15" s="40">
        <f>IF(Operations!G12=0,"–",(ABS('Income Statement'!G16)+ABS('Fixed Assets'!G7)+ABS(Exploration!G7))/Operations!G12)</f>
        <v>845607.67794345191</v>
      </c>
      <c r="H15" s="40">
        <f>IF(Operations!H12=0,"–",(ABS('Income Statement'!H16)+ABS('Fixed Assets'!H7)+ABS(Exploration!H7))/Operations!H12)</f>
        <v>882800.94766671525</v>
      </c>
      <c r="I15" s="40">
        <f>IF(Operations!I12=0,"–",(ABS('Income Statement'!I16)+ABS('Fixed Assets'!I7)+ABS(Exploration!I7))/Operations!I12)</f>
        <v>914700.67926893814</v>
      </c>
      <c r="J15" s="40">
        <f>IF(Operations!J12=0,"–",(ABS('Income Statement'!J16)+ABS('Fixed Assets'!J7)+ABS(Exploration!J7))/Operations!J12)</f>
        <v>951372.34058461466</v>
      </c>
      <c r="K15" s="40">
        <f>IF(Operations!K12=0,"–",(ABS('Income Statement'!K16)+ABS('Fixed Assets'!K7)+ABS(Exploration!K7))/Operations!K12)</f>
        <v>989538.94002601691</v>
      </c>
      <c r="L15" s="40">
        <f>IF(Operations!L12=0,"–",(ABS('Income Statement'!L16)+ABS('Fixed Assets'!L7)+ABS(Exploration!L7))/Operations!L12)</f>
        <v>1029262.1729068959</v>
      </c>
      <c r="M15" s="40">
        <f>IF(Operations!M12=0,"–",(ABS('Income Statement'!M16)+ABS('Fixed Assets'!M7)+ABS(Exploration!M7))/Operations!M12)</f>
        <v>1106079.2672139585</v>
      </c>
      <c r="N15" s="40" t="str">
        <f>IF(Operations!N12=0,"–",(ABS('Income Statement'!N16)+ABS('Fixed Assets'!N7)+ABS(Exploration!N7))/Operations!N12)</f>
        <v>–</v>
      </c>
      <c r="O15" s="40" t="str">
        <f>IF(Operations!O12=0,"–",(ABS('Income Statement'!O16)+ABS('Fixed Assets'!O7)+ABS(Exploration!O7))/Operations!O12)</f>
        <v>–</v>
      </c>
      <c r="P15" s="40" t="str">
        <f>IF(Operations!P12=0,"–",(ABS('Income Statement'!P16)+ABS('Fixed Assets'!P7)+ABS(Exploration!P7))/Operations!P12)</f>
        <v>–</v>
      </c>
      <c r="Q15" s="40" t="str">
        <f>IF(Operations!Q12=0,"–",(ABS('Income Statement'!Q16)+ABS('Fixed Assets'!Q7)+ABS(Exploration!Q7))/Operations!Q12)</f>
        <v>–</v>
      </c>
      <c r="R15" s="40" t="str">
        <f>IF(Operations!R12=0,"–",(ABS('Income Statement'!R16)+ABS('Fixed Assets'!R7)+ABS(Exploration!R7))/Operations!R12)</f>
        <v>–</v>
      </c>
      <c r="S15" s="40" t="str">
        <f>IF(Operations!S12=0,"–",(ABS('Income Statement'!S16)+ABS('Fixed Assets'!S7)+ABS(Exploration!S7))/Operations!S12)</f>
        <v>–</v>
      </c>
      <c r="T15" s="40" t="str">
        <f>IF(Operations!T12=0,"–",(ABS('Income Statement'!T16)+ABS('Fixed Assets'!T7)+ABS(Exploration!T7))/Operations!T12)</f>
        <v>–</v>
      </c>
      <c r="U15" s="40" t="str">
        <f>IF(Operations!U12=0,"–",(ABS('Income Statement'!U16)+ABS('Fixed Assets'!U7)+ABS(Exploration!U7))/Operations!U12)</f>
        <v>–</v>
      </c>
      <c r="V15" s="40" t="str">
        <f>IF(Operations!V12=0,"–",(ABS('Income Statement'!V16)+ABS('Fixed Assets'!V7)+ABS(Exploration!V7))/Operations!V12)</f>
        <v>–</v>
      </c>
      <c r="W15" s="40" t="str">
        <f>IF(Operations!W12=0,"–",(ABS('Income Statement'!W16)+ABS('Fixed Assets'!W7)+ABS(Exploration!W7))/Operations!W12)</f>
        <v>–</v>
      </c>
      <c r="X15" s="17"/>
    </row>
    <row r="16" spans="1:24" ht="15" customHeight="1" x14ac:dyDescent="0.2">
      <c r="A16" s="55" t="s">
        <v>622</v>
      </c>
      <c r="B16" s="17"/>
      <c r="C16" s="37" t="str">
        <f>IF(Operations!C12=0,"–",C15/1000*Assumptions!$B$15/Operations!C15)</f>
        <v>–</v>
      </c>
      <c r="D16" s="37">
        <f>IF(Operations!D12=0,"–",D15/1000*Assumptions!$B$15/Operations!D15)</f>
        <v>1235.8540672964866</v>
      </c>
      <c r="E16" s="37">
        <f>IF(Operations!E12=0,"–",E15/1000*Assumptions!$B$15/Operations!E15)</f>
        <v>1237.7238052641881</v>
      </c>
      <c r="F16" s="37">
        <f>IF(Operations!F12=0,"–",F15/1000*Assumptions!$B$15/Operations!F15)</f>
        <v>1250.6687007983442</v>
      </c>
      <c r="G16" s="37">
        <f>IF(Operations!G12=0,"–",G15/1000*Assumptions!$B$15/Operations!G15)</f>
        <v>1263.1576373343564</v>
      </c>
      <c r="H16" s="37">
        <f>IF(Operations!H12=0,"–",H15/1000*Assumptions!$B$15/Operations!H15)</f>
        <v>1280.3072377640153</v>
      </c>
      <c r="I16" s="37">
        <f>IF(Operations!I12=0,"–",I15/1000*Assumptions!$B$15/Operations!I15)</f>
        <v>1287.932750283469</v>
      </c>
      <c r="J16" s="37">
        <f>IF(Operations!J12=0,"–",J15/1000*Assumptions!$B$15/Operations!J15)</f>
        <v>1300.5512818420525</v>
      </c>
      <c r="K16" s="37">
        <f>IF(Operations!K12=0,"–",K15/1000*Assumptions!$B$15/Operations!K15)</f>
        <v>1313.3262504258907</v>
      </c>
      <c r="L16" s="37">
        <f>IF(Operations!L12=0,"–",L15/1000*Assumptions!$B$15/Operations!L15)</f>
        <v>1326.2595469226078</v>
      </c>
      <c r="M16" s="37">
        <f>IF(Operations!M12=0,"–",M15/1000*Assumptions!$B$15/Operations!M15)</f>
        <v>1383.7305781158148</v>
      </c>
      <c r="N16" s="37" t="str">
        <f>IF(Operations!N12=0,"–",N15/1000*Assumptions!$B$15/Operations!N15)</f>
        <v>–</v>
      </c>
      <c r="O16" s="37" t="str">
        <f>IF(Operations!O12=0,"–",O15/1000*Assumptions!$B$15/Operations!O15)</f>
        <v>–</v>
      </c>
      <c r="P16" s="37" t="str">
        <f>IF(Operations!P12=0,"–",P15/1000*Assumptions!$B$15/Operations!P15)</f>
        <v>–</v>
      </c>
      <c r="Q16" s="37" t="str">
        <f>IF(Operations!Q12=0,"–",Q15/1000*Assumptions!$B$15/Operations!Q15)</f>
        <v>–</v>
      </c>
      <c r="R16" s="37" t="str">
        <f>IF(Operations!R12=0,"–",R15/1000*Assumptions!$B$15/Operations!R15)</f>
        <v>–</v>
      </c>
      <c r="S16" s="37" t="str">
        <f>IF(Operations!S12=0,"–",S15/1000*Assumptions!$B$15/Operations!S15)</f>
        <v>–</v>
      </c>
      <c r="T16" s="37" t="str">
        <f>IF(Operations!T12=0,"–",T15/1000*Assumptions!$B$15/Operations!T15)</f>
        <v>–</v>
      </c>
      <c r="U16" s="37" t="str">
        <f>IF(Operations!U12=0,"–",U15/1000*Assumptions!$B$15/Operations!U15)</f>
        <v>–</v>
      </c>
      <c r="V16" s="37" t="str">
        <f>IF(Operations!V12=0,"–",V15/1000*Assumptions!$B$15/Operations!V15)</f>
        <v>–</v>
      </c>
      <c r="W16" s="37" t="str">
        <f>IF(Operations!W12=0,"–",W15/1000*Assumptions!$B$15/Operations!W15)</f>
        <v>–</v>
      </c>
      <c r="X16" s="17"/>
    </row>
    <row r="17" spans="1:24" ht="15" customHeight="1" x14ac:dyDescent="0.2">
      <c r="A17" s="55" t="s">
        <v>623</v>
      </c>
      <c r="B17" s="17" t="s">
        <v>343</v>
      </c>
      <c r="C17" s="119">
        <f>IF('Debt Schedule'!C25=0,"–",IFERROR(NPV(Assumptions!$E$34,'Income Statement'!C17:J17)/'Debt Schedule'!C25,"–"))</f>
        <v>38.045880810706933</v>
      </c>
      <c r="D17" s="119">
        <f>IF('Debt Schedule'!D25=0,"–",IFERROR(NPV(Assumptions!$E$34,'Income Statement'!D17:K17)/'Debt Schedule'!D25,"–"))</f>
        <v>47.925258821877073</v>
      </c>
      <c r="E17" s="119">
        <f>IF('Debt Schedule'!E25=0,"–",IFERROR(NPV(Assumptions!$E$34,'Income Statement'!E17:L17)/'Debt Schedule'!E25,"–"))</f>
        <v>61.150506773654101</v>
      </c>
      <c r="F17" s="119">
        <f>IF('Debt Schedule'!F25=0,"–",IFERROR(NPV(Assumptions!$E$34,'Income Statement'!F17:M17)/'Debt Schedule'!F25,"–"))</f>
        <v>67.116247302047398</v>
      </c>
      <c r="G17" s="119">
        <f>IF('Debt Schedule'!G25=0,"–",IFERROR(NPV(Assumptions!$E$34,'Income Statement'!G17:N17)/'Debt Schedule'!G25,"–"))</f>
        <v>69.278561760189191</v>
      </c>
      <c r="H17" s="119">
        <f>IF('Debt Schedule'!H25=0,"–",IFERROR(NPV(Assumptions!$E$34,'Income Statement'!H17:O17)/'Debt Schedule'!H25,"–"))</f>
        <v>169.14348113000264</v>
      </c>
      <c r="I17" s="119">
        <f>IF('Debt Schedule'!I25=0,"–",IFERROR(NPV(Assumptions!$E$34,'Income Statement'!I17:P17)/'Debt Schedule'!I25,"–"))</f>
        <v>235.02880936265268</v>
      </c>
      <c r="J17" s="119">
        <f>IF('Debt Schedule'!J25=0,"–",IFERROR(NPV(Assumptions!$E$34,'Income Statement'!J17:Q17)/'Debt Schedule'!J25,"–"))</f>
        <v>385.72815495417575</v>
      </c>
      <c r="K17" s="119">
        <f>IF('Debt Schedule'!K25=0,"–",IFERROR(NPV(Assumptions!$E$34,'Income Statement'!K17:R17)/'Debt Schedule'!K25,"–"))</f>
        <v>3.0915649134250432E+17</v>
      </c>
      <c r="L17" s="119">
        <f>IF('Debt Schedule'!L25=0,"–",IFERROR(NPV(Assumptions!$E$34,'Income Statement'!L17:S17)/'Debt Schedule'!L25,"–"))</f>
        <v>1.8152865874644672E+17</v>
      </c>
      <c r="M17" s="119">
        <f>IF('Debt Schedule'!M25=0,"–",IFERROR(NPV(Assumptions!$E$34,'Income Statement'!M17:T17)/'Debt Schedule'!M25,"–"))</f>
        <v>3.2347000647474912E+16</v>
      </c>
      <c r="N17" s="119">
        <f>IF('Debt Schedule'!N25=0,"–",IFERROR(NPV(Assumptions!$E$34,'Income Statement'!N17:U17)/'Debt Schedule'!N25,"–"))</f>
        <v>0</v>
      </c>
      <c r="O17" s="119">
        <f>IF('Debt Schedule'!O25=0,"–",IFERROR(NPV(Assumptions!$E$34,'Income Statement'!O17:V17)/'Debt Schedule'!O25,"–"))</f>
        <v>0</v>
      </c>
      <c r="P17" s="119">
        <f>IF('Debt Schedule'!P25=0,"–",IFERROR(NPV(Assumptions!$E$34,'Income Statement'!P17:W17)/'Debt Schedule'!P25,"–"))</f>
        <v>0</v>
      </c>
      <c r="Q17" s="119">
        <f>IF('Debt Schedule'!Q25=0,"–",IFERROR(NPV(Assumptions!$E$34,'Income Statement'!Q17:W17)/'Debt Schedule'!Q25,"–"))</f>
        <v>0</v>
      </c>
      <c r="R17" s="119">
        <f>IF('Debt Schedule'!R25=0,"–",IFERROR(NPV(Assumptions!$E$34,'Income Statement'!R17:W17)/'Debt Schedule'!R25,"–"))</f>
        <v>0</v>
      </c>
      <c r="S17" s="119">
        <f>IF('Debt Schedule'!S25=0,"–",IFERROR(NPV(Assumptions!$E$34,'Income Statement'!S17:W17)/'Debt Schedule'!S25,"–"))</f>
        <v>0</v>
      </c>
      <c r="T17" s="119">
        <f>IF('Debt Schedule'!T25=0,"–",IFERROR(NPV(Assumptions!$E$34,'Income Statement'!T17:W17)/'Debt Schedule'!T25,"–"))</f>
        <v>0</v>
      </c>
      <c r="U17" s="119">
        <f>IF('Debt Schedule'!U25=0,"–",IFERROR(NPV(Assumptions!$E$34,'Income Statement'!U17:W17)/'Debt Schedule'!U25,"–"))</f>
        <v>0</v>
      </c>
      <c r="V17" s="119">
        <f>IF('Debt Schedule'!V25=0,"–",IFERROR(NPV(Assumptions!$E$34,'Income Statement'!V17:W17)/'Debt Schedule'!V25,"–"))</f>
        <v>0</v>
      </c>
      <c r="W17" s="119">
        <f>IF('Debt Schedule'!W25=0,"–",IFERROR(NPV(Assumptions!$E$34,'Income Statement'!W17:W17)/'Debt Schedule'!W25,"–"))</f>
        <v>0</v>
      </c>
      <c r="X17" s="17"/>
    </row>
    <row r="18" spans="1:24" ht="15" customHeight="1" x14ac:dyDescent="0.2">
      <c r="A18" s="55" t="s">
        <v>624</v>
      </c>
      <c r="B18" s="17"/>
      <c r="C18" s="45">
        <f>IF('Balance Sheet'!C24=0,"–",('Debt Schedule'!C25-'Balance Sheet'!C5)/'Balance Sheet'!C24)</f>
        <v>0.18951470067304285</v>
      </c>
      <c r="D18" s="45">
        <f>IF('Balance Sheet'!D24=0,"–",('Debt Schedule'!D25-'Balance Sheet'!D5)/'Balance Sheet'!D24)</f>
        <v>0.75201035442854436</v>
      </c>
      <c r="E18" s="45">
        <f>IF('Balance Sheet'!E24=0,"–",('Debt Schedule'!E25-'Balance Sheet'!E5)/'Balance Sheet'!E24)</f>
        <v>0.35171825657002059</v>
      </c>
      <c r="F18" s="45">
        <f>IF('Balance Sheet'!F24=0,"–",('Debt Schedule'!F25-'Balance Sheet'!F5)/'Balance Sheet'!F24)</f>
        <v>0.24475137509253678</v>
      </c>
      <c r="G18" s="45">
        <f>IF('Balance Sheet'!G24=0,"–",('Debt Schedule'!G25-'Balance Sheet'!G5)/'Balance Sheet'!G24)</f>
        <v>0.20805613914947588</v>
      </c>
      <c r="H18" s="45">
        <f>IF('Balance Sheet'!H24=0,"–",('Debt Schedule'!H25-'Balance Sheet'!H5)/'Balance Sheet'!H24)</f>
        <v>8.3221191700331182E-2</v>
      </c>
      <c r="I18" s="45">
        <f>IF('Balance Sheet'!I24=0,"–",('Debt Schedule'!I25-'Balance Sheet'!I5)/'Balance Sheet'!I24)</f>
        <v>3.9421347125467757E-2</v>
      </c>
      <c r="J18" s="45">
        <f>IF('Balance Sheet'!J24=0,"–",('Debt Schedule'!J25-'Balance Sheet'!J5)/'Balance Sheet'!J24)</f>
        <v>1.7928166593358538E-2</v>
      </c>
      <c r="K18" s="45">
        <f>IF('Balance Sheet'!K24=0,"–",('Debt Schedule'!K25-'Balance Sheet'!K5)/'Balance Sheet'!K24)</f>
        <v>-1.9859698408242121E-3</v>
      </c>
      <c r="L18" s="45">
        <f>IF('Balance Sheet'!L24=0,"–",('Debt Schedule'!L25-'Balance Sheet'!L5)/'Balance Sheet'!L24)</f>
        <v>-1.9439275446381146E-3</v>
      </c>
      <c r="M18" s="45">
        <f>IF('Balance Sheet'!M24=0,"–",('Debt Schedule'!M25-'Balance Sheet'!M5)/'Balance Sheet'!M24)</f>
        <v>-7.824414476628452E-3</v>
      </c>
      <c r="N18" s="45">
        <f>IF('Balance Sheet'!N24=0,"–",('Debt Schedule'!N25-'Balance Sheet'!N5)/'Balance Sheet'!N24)</f>
        <v>-1.038767470814155</v>
      </c>
      <c r="O18" s="45">
        <f>IF('Balance Sheet'!O24=0,"–",('Debt Schedule'!O25-'Balance Sheet'!O5)/'Balance Sheet'!O24)</f>
        <v>-1.0363154554186684</v>
      </c>
      <c r="P18" s="45">
        <f>IF('Balance Sheet'!P24=0,"–",('Debt Schedule'!P25-'Balance Sheet'!P5)/'Balance Sheet'!P24)</f>
        <v>-1.0340236080144287</v>
      </c>
      <c r="Q18" s="45">
        <f>IF('Balance Sheet'!Q24=0,"–",('Debt Schedule'!Q25-'Balance Sheet'!Q5)/'Balance Sheet'!Q24)</f>
        <v>-1.0318808473426981</v>
      </c>
      <c r="R18" s="45">
        <f>IF('Balance Sheet'!R24=0,"–",('Debt Schedule'!R25-'Balance Sheet'!R5)/'Balance Sheet'!R24)</f>
        <v>-1.0298769340042391</v>
      </c>
      <c r="S18" s="45">
        <f>IF('Balance Sheet'!S24=0,"–",('Debt Schedule'!S25-'Balance Sheet'!S5)/'Balance Sheet'!S24)</f>
        <v>-1.0280023974914752</v>
      </c>
      <c r="T18" s="45">
        <f>IF('Balance Sheet'!T24=0,"–",('Debt Schedule'!T25-'Balance Sheet'!T5)/'Balance Sheet'!T24)</f>
        <v>-1.0262484705957835</v>
      </c>
      <c r="U18" s="45">
        <f>IF('Balance Sheet'!U24=0,"–",('Debt Schedule'!U25-'Balance Sheet'!U5)/'Balance Sheet'!U24)</f>
        <v>-1.0246070303253587</v>
      </c>
      <c r="V18" s="45">
        <f>IF('Balance Sheet'!V24=0,"–",('Debt Schedule'!V25-'Balance Sheet'!V5)/'Balance Sheet'!V24)</f>
        <v>-1.0230705445840333</v>
      </c>
      <c r="W18" s="45">
        <f>IF('Balance Sheet'!W24=0,"–",('Debt Schedule'!W25-'Balance Sheet'!W5)/'Balance Sheet'!W24)</f>
        <v>-1.0216320239594137</v>
      </c>
      <c r="X18" s="17"/>
    </row>
    <row r="19" spans="1:24" ht="15" customHeight="1" x14ac:dyDescent="0.2">
      <c r="A19" s="55" t="s">
        <v>625</v>
      </c>
      <c r="B19" s="17"/>
      <c r="C19" s="45" t="str">
        <f>IF('Income Statement'!C5=0,"–",(ABS('Income Statement'!C27)+ABS('Income Statement'!C28)+ABS('Income Statement'!C11)+ABS('Income Statement'!C13))/'Income Statement'!C5)</f>
        <v>–</v>
      </c>
      <c r="D19" s="45">
        <f>IF('Income Statement'!D5=0,"–",(ABS('Income Statement'!D27)+ABS('Income Statement'!D28)+ABS('Income Statement'!D11)+ABS('Income Statement'!D13))/'Income Statement'!D5)</f>
        <v>0.1196509536209331</v>
      </c>
      <c r="E19" s="45">
        <f>IF('Income Statement'!E5=0,"–",(ABS('Income Statement'!E27)+ABS('Income Statement'!E28)+ABS('Income Statement'!E11)+ABS('Income Statement'!E13))/'Income Statement'!E5)</f>
        <v>0.20066412973770037</v>
      </c>
      <c r="F19" s="45">
        <f>IF('Income Statement'!F5=0,"–",(ABS('Income Statement'!F27)+ABS('Income Statement'!F28)+ABS('Income Statement'!F11)+ABS('Income Statement'!F13))/'Income Statement'!F5)</f>
        <v>0.20348592789897016</v>
      </c>
      <c r="G19" s="45">
        <f>IF('Income Statement'!G5=0,"–",(ABS('Income Statement'!G27)+ABS('Income Statement'!G28)+ABS('Income Statement'!G11)+ABS('Income Statement'!G13))/'Income Statement'!G5)</f>
        <v>0.20546606935433795</v>
      </c>
      <c r="H19" s="45">
        <f>IF('Income Statement'!H5=0,"–",(ABS('Income Statement'!H27)+ABS('Income Statement'!H28)+ABS('Income Statement'!H11)+ABS('Income Statement'!H13))/'Income Statement'!H5)</f>
        <v>0.20230527925627895</v>
      </c>
      <c r="I19" s="45">
        <f>IF('Income Statement'!I5=0,"–",(ABS('Income Statement'!I27)+ABS('Income Statement'!I28)+ABS('Income Statement'!I11)+ABS('Income Statement'!I13))/'Income Statement'!I5)</f>
        <v>0.20993648648079269</v>
      </c>
      <c r="J19" s="45">
        <f>IF('Income Statement'!J5=0,"–",(ABS('Income Statement'!J27)+ABS('Income Statement'!J28)+ABS('Income Statement'!J11)+ABS('Income Statement'!J13))/'Income Statement'!J5)</f>
        <v>0.2116820255052522</v>
      </c>
      <c r="K19" s="45">
        <f>IF('Income Statement'!K5=0,"–",(ABS('Income Statement'!K27)+ABS('Income Statement'!K28)+ABS('Income Statement'!K11)+ABS('Income Statement'!K13))/'Income Statement'!K5)</f>
        <v>0.2133959164681023</v>
      </c>
      <c r="L19" s="45">
        <f>IF('Income Statement'!L5=0,"–",(ABS('Income Statement'!L27)+ABS('Income Statement'!L28)+ABS('Income Statement'!L11)+ABS('Income Statement'!L13))/'Income Statement'!L5)</f>
        <v>0.21507930593560412</v>
      </c>
      <c r="M19" s="45">
        <f>IF('Income Statement'!M5=0,"–",(ABS('Income Statement'!M27)+ABS('Income Statement'!M28)+ABS('Income Statement'!M11)+ABS('Income Statement'!M13))/'Income Statement'!M5)</f>
        <v>0.21096086243321396</v>
      </c>
      <c r="N19" s="45" t="str">
        <f>IF('Income Statement'!N5=0,"–",(ABS('Income Statement'!N27)+ABS('Income Statement'!N28)+ABS('Income Statement'!N11)+ABS('Income Statement'!N13))/'Income Statement'!N5)</f>
        <v>–</v>
      </c>
      <c r="O19" s="45" t="str">
        <f>IF('Income Statement'!O5=0,"–",(ABS('Income Statement'!O27)+ABS('Income Statement'!O28)+ABS('Income Statement'!O11)+ABS('Income Statement'!O13))/'Income Statement'!O5)</f>
        <v>–</v>
      </c>
      <c r="P19" s="45" t="str">
        <f>IF('Income Statement'!P5=0,"–",(ABS('Income Statement'!P27)+ABS('Income Statement'!P28)+ABS('Income Statement'!P11)+ABS('Income Statement'!P13))/'Income Statement'!P5)</f>
        <v>–</v>
      </c>
      <c r="Q19" s="45" t="str">
        <f>IF('Income Statement'!Q5=0,"–",(ABS('Income Statement'!Q27)+ABS('Income Statement'!Q28)+ABS('Income Statement'!Q11)+ABS('Income Statement'!Q13))/'Income Statement'!Q5)</f>
        <v>–</v>
      </c>
      <c r="R19" s="45" t="str">
        <f>IF('Income Statement'!R5=0,"–",(ABS('Income Statement'!R27)+ABS('Income Statement'!R28)+ABS('Income Statement'!R11)+ABS('Income Statement'!R13))/'Income Statement'!R5)</f>
        <v>–</v>
      </c>
      <c r="S19" s="45" t="str">
        <f>IF('Income Statement'!S5=0,"–",(ABS('Income Statement'!S27)+ABS('Income Statement'!S28)+ABS('Income Statement'!S11)+ABS('Income Statement'!S13))/'Income Statement'!S5)</f>
        <v>–</v>
      </c>
      <c r="T19" s="45" t="str">
        <f>IF('Income Statement'!T5=0,"–",(ABS('Income Statement'!T27)+ABS('Income Statement'!T28)+ABS('Income Statement'!T11)+ABS('Income Statement'!T13))/'Income Statement'!T5)</f>
        <v>–</v>
      </c>
      <c r="U19" s="45" t="str">
        <f>IF('Income Statement'!U5=0,"–",(ABS('Income Statement'!U27)+ABS('Income Statement'!U28)+ABS('Income Statement'!U11)+ABS('Income Statement'!U13))/'Income Statement'!U5)</f>
        <v>–</v>
      </c>
      <c r="V19" s="45" t="str">
        <f>IF('Income Statement'!V5=0,"–",(ABS('Income Statement'!V27)+ABS('Income Statement'!V28)+ABS('Income Statement'!V11)+ABS('Income Statement'!V13))/'Income Statement'!V5)</f>
        <v>–</v>
      </c>
      <c r="W19" s="45" t="str">
        <f>IF('Income Statement'!W5=0,"–",(ABS('Income Statement'!W27)+ABS('Income Statement'!W28)+ABS('Income Statement'!W11)+ABS('Income Statement'!W13))/'Income Statement'!W5)</f>
        <v>–</v>
      </c>
      <c r="X19" s="17"/>
    </row>
    <row r="21" spans="1:24" ht="15" customHeight="1" x14ac:dyDescent="0.2">
      <c r="A21" s="55" t="s">
        <v>626</v>
      </c>
      <c r="C21" s="40" t="str">
        <f>IF(Operations!C12=0,"–",'Income Statement'!C5/Operations!C12)</f>
        <v>–</v>
      </c>
      <c r="D21" s="40">
        <f>IF(Operations!D12=0,"–",'Income Statement'!D5/Operations!D12)</f>
        <v>1468478.9493143857</v>
      </c>
      <c r="E21" s="40">
        <f>IF(Operations!E12=0,"–",'Income Statement'!E5/Operations!E12)</f>
        <v>1542783.984149694</v>
      </c>
      <c r="F21" s="40">
        <f>IF(Operations!F12=0,"–",'Income Statement'!F5/Operations!F12)</f>
        <v>1620848.8537476682</v>
      </c>
      <c r="G21" s="40">
        <f>IF(Operations!G12=0,"–",'Income Statement'!G5/Operations!G12)</f>
        <v>1702863.8057473002</v>
      </c>
      <c r="H21" s="40">
        <f>IF(Operations!H12=0,"–",'Income Statement'!H5/Operations!H12)</f>
        <v>1789028.7143181141</v>
      </c>
      <c r="I21" s="40">
        <f>IF(Operations!I12=0,"–",'Income Statement'!I5/Operations!I12)</f>
        <v>1879553.5672626107</v>
      </c>
      <c r="J21" s="40">
        <f>IF(Operations!J12=0,"–",'Income Statement'!J5/Operations!J12)</f>
        <v>1974658.9777660987</v>
      </c>
      <c r="K21" s="40">
        <f>IF(Operations!K12=0,"–",'Income Statement'!K5/Operations!K12)</f>
        <v>2074576.722041063</v>
      </c>
      <c r="L21" s="40">
        <f>IF(Operations!L12=0,"–",'Income Statement'!L5/Operations!L12)</f>
        <v>2179550.3041763408</v>
      </c>
      <c r="M21" s="40">
        <f>IF(Operations!M12=0,"–",'Income Statement'!M5/Operations!M12)</f>
        <v>2289835.5495676631</v>
      </c>
      <c r="N21" s="40" t="str">
        <f>IF(Operations!N12=0,"–",'Income Statement'!N5/Operations!N12)</f>
        <v>–</v>
      </c>
      <c r="O21" s="40" t="str">
        <f>IF(Operations!O12=0,"–",'Income Statement'!O5/Operations!O12)</f>
        <v>–</v>
      </c>
      <c r="P21" s="40" t="str">
        <f>IF(Operations!P12=0,"–",'Income Statement'!P5/Operations!P12)</f>
        <v>–</v>
      </c>
      <c r="Q21" s="40" t="str">
        <f>IF(Operations!Q12=0,"–",'Income Statement'!Q5/Operations!Q12)</f>
        <v>–</v>
      </c>
      <c r="R21" s="40" t="str">
        <f>IF(Operations!R12=0,"–",'Income Statement'!R5/Operations!R12)</f>
        <v>–</v>
      </c>
      <c r="S21" s="40" t="str">
        <f>IF(Operations!S12=0,"–",'Income Statement'!S5/Operations!S12)</f>
        <v>–</v>
      </c>
      <c r="T21" s="40" t="str">
        <f>IF(Operations!T12=0,"–",'Income Statement'!T5/Operations!T12)</f>
        <v>–</v>
      </c>
      <c r="U21" s="40" t="str">
        <f>IF(Operations!U12=0,"–",'Income Statement'!U5/Operations!U12)</f>
        <v>–</v>
      </c>
      <c r="V21" s="40" t="str">
        <f>IF(Operations!V12=0,"–",'Income Statement'!V5/Operations!V12)</f>
        <v>–</v>
      </c>
      <c r="W21" s="40" t="str">
        <f>IF(Operations!W12=0,"–",'Income Statement'!W5/Operations!W12)</f>
        <v>–</v>
      </c>
    </row>
    <row r="22" spans="1:24" ht="15" customHeight="1" x14ac:dyDescent="0.2">
      <c r="A22" s="55" t="s">
        <v>627</v>
      </c>
      <c r="C22" s="40" t="str">
        <f>IF(Operations!C12=0,"–",('Income Statement'!C5+'Income Statement'!C16)/Operations!C12)</f>
        <v>–</v>
      </c>
      <c r="D22" s="40">
        <f>IF(Operations!D12=0,"–",('Income Statement'!D5+'Income Statement'!D16)/Operations!D12)</f>
        <v>711355.17699504702</v>
      </c>
      <c r="E22" s="40">
        <f>IF(Operations!E12=0,"–",('Income Statement'!E5+'Income Statement'!E16)/Operations!E12)</f>
        <v>761766.67347441998</v>
      </c>
      <c r="F22" s="40">
        <f>IF(Operations!F12=0,"–",('Income Statement'!F5+'Income Statement'!F16)/Operations!F12)</f>
        <v>809380.79026015289</v>
      </c>
      <c r="G22" s="40">
        <f>IF(Operations!G12=0,"–",('Income Statement'!G5+'Income Statement'!G16)/Operations!G12)</f>
        <v>858649.3166583376</v>
      </c>
      <c r="H22" s="40">
        <f>IF(Operations!H12=0,"–",('Income Statement'!H5+'Income Statement'!H16)/Operations!H12)</f>
        <v>908201.45086192514</v>
      </c>
      <c r="I22" s="40">
        <f>IF(Operations!I12=0,"–",('Income Statement'!I5+'Income Statement'!I16)/Operations!I12)</f>
        <v>966246.07684816164</v>
      </c>
      <c r="J22" s="40">
        <f>IF(Operations!J12=0,"–",('Income Statement'!J5+'Income Statement'!J16)/Operations!J12)</f>
        <v>1024679.8260359732</v>
      </c>
      <c r="K22" s="40">
        <f>IF(Operations!K12=0,"–",('Income Statement'!K5+'Income Statement'!K16)/Operations!K12)</f>
        <v>1086430.9708695353</v>
      </c>
      <c r="L22" s="40">
        <f>IF(Operations!L12=0,"–",('Income Statement'!L5+'Income Statement'!L16)/Operations!L12)</f>
        <v>1151681.3201239342</v>
      </c>
      <c r="M22" s="40">
        <f>IF(Operations!M12=0,"–",('Income Statement'!M5+'Income Statement'!M16)/Operations!M12)</f>
        <v>1190523.1996469377</v>
      </c>
      <c r="N22" s="40" t="str">
        <f>IF(Operations!N12=0,"–",('Income Statement'!N5+'Income Statement'!N16)/Operations!N12)</f>
        <v>–</v>
      </c>
      <c r="O22" s="40" t="str">
        <f>IF(Operations!O12=0,"–",('Income Statement'!O5+'Income Statement'!O16)/Operations!O12)</f>
        <v>–</v>
      </c>
      <c r="P22" s="40" t="str">
        <f>IF(Operations!P12=0,"–",('Income Statement'!P5+'Income Statement'!P16)/Operations!P12)</f>
        <v>–</v>
      </c>
      <c r="Q22" s="40" t="str">
        <f>IF(Operations!Q12=0,"–",('Income Statement'!Q5+'Income Statement'!Q16)/Operations!Q12)</f>
        <v>–</v>
      </c>
      <c r="R22" s="40" t="str">
        <f>IF(Operations!R12=0,"–",('Income Statement'!R5+'Income Statement'!R16)/Operations!R12)</f>
        <v>–</v>
      </c>
      <c r="S22" s="40" t="str">
        <f>IF(Operations!S12=0,"–",('Income Statement'!S5+'Income Statement'!S16)/Operations!S12)</f>
        <v>–</v>
      </c>
      <c r="T22" s="40" t="str">
        <f>IF(Operations!T12=0,"–",('Income Statement'!T5+'Income Statement'!T16)/Operations!T12)</f>
        <v>–</v>
      </c>
      <c r="U22" s="40" t="str">
        <f>IF(Operations!U12=0,"–",('Income Statement'!U5+'Income Statement'!U16)/Operations!U12)</f>
        <v>–</v>
      </c>
      <c r="V22" s="40" t="str">
        <f>IF(Operations!V12=0,"–",('Income Statement'!V5+'Income Statement'!V16)/Operations!V12)</f>
        <v>–</v>
      </c>
      <c r="W22" s="40" t="str">
        <f>IF(Operations!W12=0,"–",('Income Statement'!W5+'Income Statement'!W16)/Operations!W12)</f>
        <v>–</v>
      </c>
    </row>
    <row r="23" spans="1:24" ht="15" customHeight="1" x14ac:dyDescent="0.2">
      <c r="A23" s="55" t="s">
        <v>628</v>
      </c>
      <c r="C23" s="45" t="str">
        <f>IF('Income Statement'!C5=0,"–",ABS('Income Statement'!C16)/'Income Statement'!C5)</f>
        <v>–</v>
      </c>
      <c r="D23" s="45">
        <f>IF('Income Statement'!D5=0,"–",ABS('Income Statement'!D16)/'Income Statement'!D5)</f>
        <v>0.51558367429974405</v>
      </c>
      <c r="E23" s="45">
        <f>IF('Income Statement'!E5=0,"–",ABS('Income Statement'!E16)/'Income Statement'!E5)</f>
        <v>0.50623892826171124</v>
      </c>
      <c r="F23" s="45">
        <f>IF('Income Statement'!F5=0,"–",ABS('Income Statement'!F16)/'Income Statement'!F5)</f>
        <v>0.50064388274777638</v>
      </c>
      <c r="G23" s="45">
        <f>IF('Income Statement'!G5=0,"–",ABS('Income Statement'!G16)/'Income Statement'!G5)</f>
        <v>0.49576160244857626</v>
      </c>
      <c r="H23" s="45">
        <f>IF('Income Statement'!H5=0,"–",ABS('Income Statement'!H16)/'Income Statement'!H5)</f>
        <v>0.49234942760095113</v>
      </c>
      <c r="I23" s="45">
        <f>IF('Income Statement'!I5=0,"–",ABS('Income Statement'!I16)/'Income Statement'!I5)</f>
        <v>0.48591724456387464</v>
      </c>
      <c r="J23" s="45">
        <f>IF('Income Statement'!J5=0,"–",ABS('Income Statement'!J16)/'Income Statement'!J5)</f>
        <v>0.48108517087078112</v>
      </c>
      <c r="K23" s="45">
        <f>IF('Income Statement'!K5=0,"–",ABS('Income Statement'!K16)/'Income Statement'!K5)</f>
        <v>0.47631198242663447</v>
      </c>
      <c r="L23" s="45">
        <f>IF('Income Statement'!L5=0,"–",ABS('Income Statement'!L16)/'Income Statement'!L5)</f>
        <v>0.47159681613351967</v>
      </c>
      <c r="M23" s="45">
        <f>IF('Income Statement'!M5=0,"–",ABS('Income Statement'!M16)/'Income Statement'!M5)</f>
        <v>0.48008353705936796</v>
      </c>
      <c r="N23" s="45" t="str">
        <f>IF('Income Statement'!N5=0,"–",ABS('Income Statement'!N16)/'Income Statement'!N5)</f>
        <v>–</v>
      </c>
      <c r="O23" s="45" t="str">
        <f>IF('Income Statement'!O5=0,"–",ABS('Income Statement'!O16)/'Income Statement'!O5)</f>
        <v>–</v>
      </c>
      <c r="P23" s="45" t="str">
        <f>IF('Income Statement'!P5=0,"–",ABS('Income Statement'!P16)/'Income Statement'!P5)</f>
        <v>–</v>
      </c>
      <c r="Q23" s="45" t="str">
        <f>IF('Income Statement'!Q5=0,"–",ABS('Income Statement'!Q16)/'Income Statement'!Q5)</f>
        <v>–</v>
      </c>
      <c r="R23" s="45" t="str">
        <f>IF('Income Statement'!R5=0,"–",ABS('Income Statement'!R16)/'Income Statement'!R5)</f>
        <v>–</v>
      </c>
      <c r="S23" s="45" t="str">
        <f>IF('Income Statement'!S5=0,"–",ABS('Income Statement'!S16)/'Income Statement'!S5)</f>
        <v>–</v>
      </c>
      <c r="T23" s="45" t="str">
        <f>IF('Income Statement'!T5=0,"–",ABS('Income Statement'!T16)/'Income Statement'!T5)</f>
        <v>–</v>
      </c>
      <c r="U23" s="45" t="str">
        <f>IF('Income Statement'!U5=0,"–",ABS('Income Statement'!U16)/'Income Statement'!U5)</f>
        <v>–</v>
      </c>
      <c r="V23" s="45" t="str">
        <f>IF('Income Statement'!V5=0,"–",ABS('Income Statement'!V16)/'Income Statement'!V5)</f>
        <v>–</v>
      </c>
      <c r="W23" s="45" t="str">
        <f>IF('Income Statement'!W5=0,"–",ABS('Income Statement'!W16)/'Income Statement'!W5)</f>
        <v>–</v>
      </c>
    </row>
    <row r="24" spans="1:24" ht="15" customHeight="1" x14ac:dyDescent="0.2">
      <c r="A24" s="55" t="s">
        <v>629</v>
      </c>
      <c r="C24" s="45" t="str">
        <f>IF('Income Statement'!C25=0,"–",(ABS('Income Statement'!C27)+ABS('Income Statement'!C28))/'Income Statement'!C25)</f>
        <v>–</v>
      </c>
      <c r="D24" s="45">
        <f>IF('Income Statement'!D25=0,"–",(ABS('Income Statement'!D27)+ABS('Income Statement'!D28))/'Income Statement'!D25)</f>
        <v>0.15488012642324664</v>
      </c>
      <c r="E24" s="45">
        <f>IF('Income Statement'!E25=0,"–",(ABS('Income Statement'!E27)+ABS('Income Statement'!E28))/'Income Statement'!E25)</f>
        <v>0.31675531343904073</v>
      </c>
      <c r="F24" s="45">
        <f>IF('Income Statement'!F25=0,"–",(ABS('Income Statement'!F27)+ABS('Income Statement'!F28))/'Income Statement'!F25)</f>
        <v>0.31479529256865396</v>
      </c>
      <c r="G24" s="45">
        <f>IF('Income Statement'!G25=0,"–",(ABS('Income Statement'!G27)+ABS('Income Statement'!G28))/'Income Statement'!G25)</f>
        <v>0.31486308385162998</v>
      </c>
      <c r="H24" s="45">
        <f>IF('Income Statement'!H25=0,"–",(ABS('Income Statement'!H27)+ABS('Income Statement'!H28))/'Income Statement'!H25)</f>
        <v>0.30894614671433956</v>
      </c>
      <c r="I24" s="45">
        <f>IF('Income Statement'!I25=0,"–",(ABS('Income Statement'!I27)+ABS('Income Statement'!I28))/'Income Statement'!I25)</f>
        <v>0.31558530130072954</v>
      </c>
      <c r="J24" s="45">
        <f>IF('Income Statement'!J25=0,"–",(ABS('Income Statement'!J27)+ABS('Income Statement'!J28))/'Income Statement'!J25)</f>
        <v>0.31562126028375093</v>
      </c>
      <c r="K24" s="45">
        <f>IF('Income Statement'!K25=0,"–",(ABS('Income Statement'!K27)+ABS('Income Statement'!K28))/'Income Statement'!K25)</f>
        <v>0.31565855509345569</v>
      </c>
      <c r="L24" s="45">
        <f>IF('Income Statement'!L25=0,"–",(ABS('Income Statement'!L27)+ABS('Income Statement'!L28))/'Income Statement'!L25)</f>
        <v>0.31569712900214358</v>
      </c>
      <c r="M24" s="45">
        <f>IF('Income Statement'!M25=0,"–",(ABS('Income Statement'!M27)+ABS('Income Statement'!M28))/'Income Statement'!M25)</f>
        <v>0.33195185267482302</v>
      </c>
      <c r="N24" s="45">
        <f>IF('Income Statement'!N25=0,"–",(ABS('Income Statement'!N27)+ABS('Income Statement'!N28))/'Income Statement'!N25)</f>
        <v>0</v>
      </c>
      <c r="O24" s="45">
        <f>IF('Income Statement'!O25=0,"–",(ABS('Income Statement'!O27)+ABS('Income Statement'!O28))/'Income Statement'!O25)</f>
        <v>0</v>
      </c>
      <c r="P24" s="45">
        <f>IF('Income Statement'!P25=0,"–",(ABS('Income Statement'!P27)+ABS('Income Statement'!P28))/'Income Statement'!P25)</f>
        <v>0</v>
      </c>
      <c r="Q24" s="45">
        <f>IF('Income Statement'!Q25=0,"–",(ABS('Income Statement'!Q27)+ABS('Income Statement'!Q28))/'Income Statement'!Q25)</f>
        <v>0</v>
      </c>
      <c r="R24" s="45">
        <f>IF('Income Statement'!R25=0,"–",(ABS('Income Statement'!R27)+ABS('Income Statement'!R28))/'Income Statement'!R25)</f>
        <v>0</v>
      </c>
      <c r="S24" s="45">
        <f>IF('Income Statement'!S25=0,"–",(ABS('Income Statement'!S27)+ABS('Income Statement'!S28))/'Income Statement'!S25)</f>
        <v>0</v>
      </c>
      <c r="T24" s="45">
        <f>IF('Income Statement'!T25=0,"–",(ABS('Income Statement'!T27)+ABS('Income Statement'!T28))/'Income Statement'!T25)</f>
        <v>0</v>
      </c>
      <c r="U24" s="45">
        <f>IF('Income Statement'!U25=0,"–",(ABS('Income Statement'!U27)+ABS('Income Statement'!U28))/'Income Statement'!U25)</f>
        <v>0</v>
      </c>
      <c r="V24" s="45">
        <f>IF('Income Statement'!V25=0,"–",(ABS('Income Statement'!V27)+ABS('Income Statement'!V28))/'Income Statement'!V25)</f>
        <v>0</v>
      </c>
      <c r="W24" s="45">
        <f>IF('Income Statement'!W25=0,"–",(ABS('Income Statement'!W27)+ABS('Income Statement'!W28))/'Income Statement'!W25)</f>
        <v>0</v>
      </c>
    </row>
    <row r="26" spans="1:24" ht="16" x14ac:dyDescent="0.2">
      <c r="A26" s="82" t="s">
        <v>630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spans="1:24" x14ac:dyDescent="0.2">
      <c r="A27" t="s">
        <v>631</v>
      </c>
      <c r="B27" s="4" t="s">
        <v>296</v>
      </c>
      <c r="C27" s="40">
        <f>'By-product Revenue'!C31/1000000</f>
        <v>0</v>
      </c>
      <c r="D27" s="40">
        <f>'By-product Revenue'!D31/1000000</f>
        <v>304.99879909464477</v>
      </c>
      <c r="E27" s="40">
        <f>'By-product Revenue'!E31/1000000</f>
        <v>635.93671873049311</v>
      </c>
      <c r="F27" s="40">
        <f>'By-product Revenue'!F31/1000000</f>
        <v>837.72449587282017</v>
      </c>
      <c r="G27" s="40">
        <f>'By-product Revenue'!G31/1000000</f>
        <v>882.69395536398486</v>
      </c>
      <c r="H27" s="40">
        <f>'By-product Revenue'!H31/1000000</f>
        <v>656.42743729793131</v>
      </c>
      <c r="I27" s="40">
        <f>'By-product Revenue'!I31/1000000</f>
        <v>979.57437630237575</v>
      </c>
      <c r="J27" s="40">
        <f>'By-product Revenue'!J31/1000000</f>
        <v>1031.7214397432761</v>
      </c>
      <c r="K27" s="40">
        <f>'By-product Revenue'!K31/1000000</f>
        <v>1086.507144594286</v>
      </c>
      <c r="L27" s="40">
        <f>'By-product Revenue'!L31/1000000</f>
        <v>1144.0650061107569</v>
      </c>
      <c r="M27" s="40">
        <f>'By-product Revenue'!M31/1000000</f>
        <v>247.99256082175668</v>
      </c>
      <c r="N27" s="40">
        <f>'By-product Revenue'!N31/1000000</f>
        <v>0</v>
      </c>
      <c r="O27" s="40">
        <f>'By-product Revenue'!O31/1000000</f>
        <v>0</v>
      </c>
      <c r="P27" s="40">
        <f>'By-product Revenue'!P31/1000000</f>
        <v>0</v>
      </c>
      <c r="Q27" s="40">
        <f>'By-product Revenue'!Q31/1000000</f>
        <v>0</v>
      </c>
      <c r="R27" s="40">
        <f>'By-product Revenue'!R31/1000000</f>
        <v>0</v>
      </c>
      <c r="S27" s="40">
        <f>'By-product Revenue'!S31/1000000</f>
        <v>0</v>
      </c>
      <c r="T27" s="40">
        <f>'By-product Revenue'!T31/1000000</f>
        <v>0</v>
      </c>
      <c r="U27" s="40">
        <f>'By-product Revenue'!U31/1000000</f>
        <v>0</v>
      </c>
      <c r="V27" s="40">
        <f>'By-product Revenue'!V31/1000000</f>
        <v>0</v>
      </c>
      <c r="W27" s="40">
        <f>'By-product Revenue'!W31/1000000</f>
        <v>0</v>
      </c>
    </row>
    <row r="28" spans="1:24" x14ac:dyDescent="0.2">
      <c r="A28" t="s">
        <v>632</v>
      </c>
      <c r="B28" s="4" t="s">
        <v>117</v>
      </c>
      <c r="C28" s="85" t="str">
        <f>IF('Income Statement'!C5=0,"-",'By-product Revenue'!C31/'Income Statement'!C5)</f>
        <v>-</v>
      </c>
      <c r="D28" s="85">
        <f>IF('Income Statement'!D5=0,"-",'By-product Revenue'!D31/'Income Statement'!D5)</f>
        <v>7.9501277060232842E-2</v>
      </c>
      <c r="E28" s="85">
        <f>IF('Income Statement'!E5=0,"-",'By-product Revenue'!E31/'Income Statement'!E5)</f>
        <v>7.9760207466767152E-2</v>
      </c>
      <c r="F28" s="85">
        <f>IF('Income Statement'!F5=0,"-",'By-product Revenue'!F31/'Income Statement'!F5)</f>
        <v>8.0006667019912353E-2</v>
      </c>
      <c r="G28" s="85">
        <f>IF('Income Statement'!G5=0,"-",'By-product Revenue'!G31/'Income Statement'!G5)</f>
        <v>8.0241256352812762E-2</v>
      </c>
      <c r="H28" s="85">
        <f>IF('Income Statement'!H5=0,"-",'By-product Revenue'!H31/'Income Statement'!H5)</f>
        <v>8.0464547170346012E-2</v>
      </c>
      <c r="I28" s="85">
        <f>IF('Income Statement'!I5=0,"-",'By-product Revenue'!I31/'Income Statement'!I5)</f>
        <v>8.0677083642393607E-2</v>
      </c>
      <c r="J28" s="85">
        <f>IF('Income Statement'!J5=0,"-",'By-product Revenue'!J31/'Income Statement'!J5)</f>
        <v>8.0879383730007956E-2</v>
      </c>
      <c r="K28" s="85">
        <f>IF('Income Statement'!K5=0,"-",'By-product Revenue'!K31/'Income Statement'!K5)</f>
        <v>8.1071940447706756E-2</v>
      </c>
      <c r="L28" s="85">
        <f>IF('Income Statement'!L5=0,"-",'By-product Revenue'!L31/'Income Statement'!L5)</f>
        <v>8.1255223064971918E-2</v>
      </c>
      <c r="M28" s="85">
        <f>IF('Income Statement'!M5=0,"-",'By-product Revenue'!M31/'Income Statement'!M5)</f>
        <v>8.1429678249880719E-2</v>
      </c>
      <c r="N28" s="85" t="str">
        <f>IF('Income Statement'!N5=0,"-",'By-product Revenue'!N31/'Income Statement'!N5)</f>
        <v>-</v>
      </c>
      <c r="O28" s="85" t="str">
        <f>IF('Income Statement'!O5=0,"-",'By-product Revenue'!O31/'Income Statement'!O5)</f>
        <v>-</v>
      </c>
      <c r="P28" s="85" t="str">
        <f>IF('Income Statement'!P5=0,"-",'By-product Revenue'!P31/'Income Statement'!P5)</f>
        <v>-</v>
      </c>
      <c r="Q28" s="85" t="str">
        <f>IF('Income Statement'!Q5=0,"-",'By-product Revenue'!Q31/'Income Statement'!Q5)</f>
        <v>-</v>
      </c>
      <c r="R28" s="85" t="str">
        <f>IF('Income Statement'!R5=0,"-",'By-product Revenue'!R31/'Income Statement'!R5)</f>
        <v>-</v>
      </c>
      <c r="S28" s="85" t="str">
        <f>IF('Income Statement'!S5=0,"-",'By-product Revenue'!S31/'Income Statement'!S5)</f>
        <v>-</v>
      </c>
      <c r="T28" s="85" t="str">
        <f>IF('Income Statement'!T5=0,"-",'By-product Revenue'!T31/'Income Statement'!T5)</f>
        <v>-</v>
      </c>
      <c r="U28" s="85" t="str">
        <f>IF('Income Statement'!U5=0,"-",'By-product Revenue'!U31/'Income Statement'!U5)</f>
        <v>-</v>
      </c>
      <c r="V28" s="85" t="str">
        <f>IF('Income Statement'!V5=0,"-",'By-product Revenue'!V31/'Income Statement'!V5)</f>
        <v>-</v>
      </c>
      <c r="W28" s="85" t="str">
        <f>IF('Income Statement'!W5=0,"-",'By-product Revenue'!W31/'Income Statement'!W5)</f>
        <v>-</v>
      </c>
    </row>
    <row r="29" spans="1:24" x14ac:dyDescent="0.2">
      <c r="A29" t="s">
        <v>633</v>
      </c>
      <c r="B29" s="4" t="s">
        <v>339</v>
      </c>
      <c r="C29" s="40">
        <f>'By-product Revenue'!C34</f>
        <v>0</v>
      </c>
      <c r="D29" s="40">
        <f>'By-product Revenue'!D34</f>
        <v>190.56456111337812</v>
      </c>
      <c r="E29" s="40">
        <f>'By-product Revenue'!E34</f>
        <v>195.00892164379769</v>
      </c>
      <c r="F29" s="40">
        <f>'By-product Revenue'!F34</f>
        <v>199.52373047293779</v>
      </c>
      <c r="G29" s="40">
        <f>'By-product Revenue'!G34</f>
        <v>204.11093362245876</v>
      </c>
      <c r="H29" s="40">
        <f>'By-product Revenue'!H34</f>
        <v>208.7725003920558</v>
      </c>
      <c r="I29" s="40">
        <f>'By-product Revenue'!I34</f>
        <v>213.51042428062291</v>
      </c>
      <c r="J29" s="40">
        <f>'By-product Revenue'!J34</f>
        <v>218.32672391257131</v>
      </c>
      <c r="K29" s="40">
        <f>'By-product Revenue'!K34</f>
        <v>223.22344396978971</v>
      </c>
      <c r="L29" s="40">
        <f>'By-product Revenue'!L34</f>
        <v>228.20265612973597</v>
      </c>
      <c r="M29" s="40">
        <f>'By-product Revenue'!M34</f>
        <v>233.2664600101466</v>
      </c>
      <c r="N29" s="40">
        <f>'By-product Revenue'!N34</f>
        <v>0</v>
      </c>
      <c r="O29" s="40">
        <f>'By-product Revenue'!O34</f>
        <v>0</v>
      </c>
      <c r="P29" s="40">
        <f>'By-product Revenue'!P34</f>
        <v>0</v>
      </c>
      <c r="Q29" s="40">
        <f>'By-product Revenue'!Q34</f>
        <v>0</v>
      </c>
      <c r="R29" s="40">
        <f>'By-product Revenue'!R34</f>
        <v>0</v>
      </c>
      <c r="S29" s="40">
        <f>'By-product Revenue'!S34</f>
        <v>0</v>
      </c>
      <c r="T29" s="40">
        <f>'By-product Revenue'!T34</f>
        <v>0</v>
      </c>
      <c r="U29" s="40">
        <f>'By-product Revenue'!U34</f>
        <v>0</v>
      </c>
      <c r="V29" s="40">
        <f>'By-product Revenue'!V34</f>
        <v>0</v>
      </c>
      <c r="W29" s="40">
        <f>'By-product Revenue'!W34</f>
        <v>0</v>
      </c>
    </row>
    <row r="30" spans="1:24" x14ac:dyDescent="0.2">
      <c r="A30" s="68" t="s">
        <v>634</v>
      </c>
      <c r="B30" s="70" t="s">
        <v>339</v>
      </c>
      <c r="C30" s="69">
        <f>'By-product Revenue'!C36</f>
        <v>0</v>
      </c>
      <c r="D30" s="69">
        <f>'By-product Revenue'!D36</f>
        <v>1045.2895061831084</v>
      </c>
      <c r="E30" s="69">
        <f>'By-product Revenue'!E36</f>
        <v>1042.7148836203905</v>
      </c>
      <c r="F30" s="69">
        <f>'By-product Revenue'!F36</f>
        <v>1051.1449703254063</v>
      </c>
      <c r="G30" s="69">
        <f>'By-product Revenue'!G36</f>
        <v>1059.0467037118976</v>
      </c>
      <c r="H30" s="69">
        <f>'By-product Revenue'!H36</f>
        <v>1071.5347373719596</v>
      </c>
      <c r="I30" s="69">
        <f>'By-product Revenue'!I36</f>
        <v>1074.4223260028461</v>
      </c>
      <c r="J30" s="69">
        <f>'By-product Revenue'!J36</f>
        <v>1082.2245579294813</v>
      </c>
      <c r="K30" s="69">
        <f>'By-product Revenue'!K36</f>
        <v>1090.102806456101</v>
      </c>
      <c r="L30" s="69">
        <f>'By-product Revenue'!L36</f>
        <v>1098.0568907928719</v>
      </c>
      <c r="M30" s="69">
        <f>'By-product Revenue'!M36</f>
        <v>1150.4641181056681</v>
      </c>
      <c r="N30" s="69">
        <f>'By-product Revenue'!N36</f>
        <v>0</v>
      </c>
      <c r="O30" s="69">
        <f>'By-product Revenue'!O36</f>
        <v>0</v>
      </c>
      <c r="P30" s="69">
        <f>'By-product Revenue'!P36</f>
        <v>0</v>
      </c>
      <c r="Q30" s="69">
        <f>'By-product Revenue'!Q36</f>
        <v>0</v>
      </c>
      <c r="R30" s="69">
        <f>'By-product Revenue'!R36</f>
        <v>0</v>
      </c>
      <c r="S30" s="69">
        <f>'By-product Revenue'!S36</f>
        <v>0</v>
      </c>
      <c r="T30" s="69">
        <f>'By-product Revenue'!T36</f>
        <v>0</v>
      </c>
      <c r="U30" s="69">
        <f>'By-product Revenue'!U36</f>
        <v>0</v>
      </c>
      <c r="V30" s="69">
        <f>'By-product Revenue'!V36</f>
        <v>0</v>
      </c>
      <c r="W30" s="69">
        <f>'By-product Revenue'!W36</f>
        <v>0</v>
      </c>
      <c r="X30" s="71"/>
    </row>
    <row r="37" spans="3:23" ht="15" customHeight="1" x14ac:dyDescent="0.2"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</row>
  </sheetData>
  <conditionalFormatting sqref="C6:W6">
    <cfRule type="cellIs" dxfId="0" priority="2" operator="lessThan">
      <formula>1.3</formula>
    </cfRule>
  </conditionalFormatting>
  <pageMargins left="0.75" right="0.75" top="1" bottom="1" header="0.511811023622047" footer="0.511811023622047"/>
  <pageSetup paperSize="8" fitToHeight="0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H37"/>
  <sheetViews>
    <sheetView zoomScaleNormal="100" workbookViewId="0"/>
  </sheetViews>
  <sheetFormatPr baseColWidth="10" defaultColWidth="8.6640625" defaultRowHeight="15" x14ac:dyDescent="0.2"/>
  <cols>
    <col min="1" max="1" width="35" customWidth="1"/>
    <col min="2" max="6" width="12" customWidth="1"/>
    <col min="7" max="24" width="16" customWidth="1"/>
  </cols>
  <sheetData>
    <row r="1" spans="1:8" ht="17.25" customHeight="1" x14ac:dyDescent="0.2">
      <c r="A1" s="28" t="s">
        <v>42</v>
      </c>
    </row>
    <row r="2" spans="1:8" ht="15" customHeight="1" x14ac:dyDescent="0.2">
      <c r="A2" s="4" t="s">
        <v>635</v>
      </c>
    </row>
    <row r="3" spans="1:8" ht="15" customHeight="1" x14ac:dyDescent="0.2">
      <c r="A3" s="112" t="s">
        <v>636</v>
      </c>
    </row>
    <row r="4" spans="1:8" ht="15" customHeight="1" x14ac:dyDescent="0.2">
      <c r="A4" s="27" t="s">
        <v>637</v>
      </c>
      <c r="B4" s="20"/>
      <c r="C4" s="20"/>
      <c r="D4" s="20"/>
      <c r="E4" s="20"/>
      <c r="F4" s="20"/>
    </row>
    <row r="5" spans="1:8" ht="15" customHeight="1" x14ac:dyDescent="0.2">
      <c r="A5" s="22" t="s">
        <v>259</v>
      </c>
      <c r="B5" s="121">
        <v>1800</v>
      </c>
      <c r="C5" s="121">
        <v>2000</v>
      </c>
      <c r="D5" s="121">
        <v>2150</v>
      </c>
      <c r="E5" s="122">
        <v>2350</v>
      </c>
      <c r="F5" s="121">
        <v>2550</v>
      </c>
      <c r="G5" s="121">
        <v>2750</v>
      </c>
      <c r="H5" s="121">
        <v>3000</v>
      </c>
    </row>
    <row r="6" spans="1:8" ht="15" customHeight="1" x14ac:dyDescent="0.2">
      <c r="A6" s="22" t="s">
        <v>638</v>
      </c>
      <c r="B6" s="123"/>
      <c r="C6" s="123"/>
      <c r="D6" s="123"/>
      <c r="E6" s="124"/>
      <c r="F6" s="123"/>
      <c r="G6" s="123"/>
      <c r="H6" s="123"/>
    </row>
    <row r="7" spans="1:8" ht="15" customHeight="1" x14ac:dyDescent="0.2">
      <c r="A7" s="22" t="s">
        <v>639</v>
      </c>
      <c r="B7" s="125"/>
      <c r="C7" s="125"/>
      <c r="D7" s="125"/>
      <c r="E7" s="126"/>
      <c r="F7" s="125"/>
      <c r="G7" s="125"/>
      <c r="H7" s="125"/>
    </row>
    <row r="8" spans="1:8" ht="15" customHeight="1" x14ac:dyDescent="0.2">
      <c r="A8" s="22" t="s">
        <v>640</v>
      </c>
      <c r="B8" s="125"/>
      <c r="C8" s="125"/>
      <c r="D8" s="125"/>
      <c r="E8" s="126"/>
      <c r="F8" s="125"/>
      <c r="G8" s="125"/>
      <c r="H8" s="125"/>
    </row>
    <row r="10" spans="1:8" ht="15" customHeight="1" x14ac:dyDescent="0.2">
      <c r="A10" s="27" t="s">
        <v>641</v>
      </c>
      <c r="B10" s="20"/>
      <c r="C10" s="20"/>
      <c r="D10" s="20"/>
      <c r="E10" s="20"/>
      <c r="F10" s="20"/>
    </row>
    <row r="11" spans="1:8" ht="15" customHeight="1" x14ac:dyDescent="0.2">
      <c r="A11" s="22" t="s">
        <v>263</v>
      </c>
      <c r="B11" s="127">
        <v>1.2</v>
      </c>
      <c r="C11" s="127">
        <v>1.5</v>
      </c>
      <c r="D11" s="127">
        <v>1.75</v>
      </c>
      <c r="E11" s="128">
        <v>2</v>
      </c>
      <c r="F11" s="127">
        <v>2.25</v>
      </c>
      <c r="G11" s="127">
        <v>2.5</v>
      </c>
      <c r="H11" s="127">
        <v>3</v>
      </c>
    </row>
    <row r="12" spans="1:8" ht="15" customHeight="1" x14ac:dyDescent="0.2">
      <c r="A12" s="22" t="s">
        <v>638</v>
      </c>
      <c r="B12" s="123"/>
      <c r="C12" s="123"/>
      <c r="D12" s="123"/>
      <c r="E12" s="124"/>
      <c r="F12" s="123"/>
      <c r="G12" s="123"/>
      <c r="H12" s="123"/>
    </row>
    <row r="13" spans="1:8" ht="15" customHeight="1" x14ac:dyDescent="0.2">
      <c r="A13" s="22" t="s">
        <v>639</v>
      </c>
      <c r="B13" s="125"/>
      <c r="C13" s="125"/>
      <c r="D13" s="125"/>
      <c r="E13" s="126"/>
      <c r="F13" s="125"/>
      <c r="G13" s="125"/>
      <c r="H13" s="125"/>
    </row>
    <row r="15" spans="1:8" ht="15" customHeight="1" x14ac:dyDescent="0.2">
      <c r="A15" s="27" t="s">
        <v>642</v>
      </c>
      <c r="B15" s="20"/>
      <c r="C15" s="20"/>
      <c r="D15" s="20"/>
      <c r="E15" s="20"/>
      <c r="F15" s="20"/>
    </row>
    <row r="16" spans="1:8" ht="15" customHeight="1" x14ac:dyDescent="0.2">
      <c r="A16" s="22" t="s">
        <v>340</v>
      </c>
      <c r="B16" s="127">
        <v>14</v>
      </c>
      <c r="C16" s="127">
        <v>16</v>
      </c>
      <c r="D16" s="127">
        <v>17.5</v>
      </c>
      <c r="E16" s="128">
        <v>18.5</v>
      </c>
      <c r="F16" s="127">
        <v>20</v>
      </c>
      <c r="G16" s="127">
        <v>22</v>
      </c>
      <c r="H16" s="127">
        <v>25</v>
      </c>
    </row>
    <row r="17" spans="1:8" ht="15" customHeight="1" x14ac:dyDescent="0.2">
      <c r="A17" s="22" t="s">
        <v>638</v>
      </c>
      <c r="B17" s="123"/>
      <c r="C17" s="123"/>
      <c r="D17" s="123"/>
      <c r="E17" s="124"/>
      <c r="F17" s="123"/>
      <c r="G17" s="123"/>
      <c r="H17" s="123"/>
    </row>
    <row r="18" spans="1:8" ht="15" customHeight="1" x14ac:dyDescent="0.2">
      <c r="A18" s="22" t="s">
        <v>639</v>
      </c>
      <c r="B18" s="125"/>
      <c r="C18" s="125"/>
      <c r="D18" s="125"/>
      <c r="E18" s="126"/>
      <c r="F18" s="125"/>
      <c r="G18" s="125"/>
      <c r="H18" s="125"/>
    </row>
    <row r="20" spans="1:8" ht="15" customHeight="1" x14ac:dyDescent="0.2">
      <c r="A20" s="27" t="s">
        <v>643</v>
      </c>
      <c r="B20" s="20"/>
      <c r="C20" s="20"/>
      <c r="D20" s="20"/>
      <c r="E20" s="20"/>
      <c r="F20" s="20"/>
    </row>
    <row r="21" spans="1:8" ht="15" customHeight="1" x14ac:dyDescent="0.2">
      <c r="A21" s="22" t="s">
        <v>644</v>
      </c>
      <c r="B21" s="129">
        <v>0.08</v>
      </c>
      <c r="C21" s="129">
        <v>0.1</v>
      </c>
      <c r="D21" s="129">
        <v>0.12</v>
      </c>
      <c r="E21" s="129">
        <v>0.14000000000000001</v>
      </c>
      <c r="F21" s="129">
        <v>0.16</v>
      </c>
      <c r="G21" s="129">
        <v>0.18</v>
      </c>
      <c r="H21" s="129">
        <v>0.2</v>
      </c>
    </row>
    <row r="22" spans="1:8" ht="15" customHeight="1" x14ac:dyDescent="0.2">
      <c r="A22" s="22" t="s">
        <v>638</v>
      </c>
      <c r="B22" s="123">
        <f>IFERROR(NPV(B21,'FCF Analysis'!D11:W11)+'FCF Analysis'!C11,"N/A")</f>
        <v>20790107564.847576</v>
      </c>
      <c r="C22" s="123">
        <f>IFERROR(NPV(C21,'FCF Analysis'!D11:W11)+'FCF Analysis'!C11,"N/A")</f>
        <v>18618487229.791397</v>
      </c>
      <c r="D22" s="123">
        <f>IFERROR(NPV(D21,'FCF Analysis'!D11:W11)+'FCF Analysis'!C11,"N/A")</f>
        <v>16735857378.998882</v>
      </c>
      <c r="E22" s="123">
        <f>IFERROR(NPV(E21,'FCF Analysis'!D11:W11)+'FCF Analysis'!C11,"N/A")</f>
        <v>15096727888.917265</v>
      </c>
      <c r="F22" s="123">
        <f>IFERROR(NPV(F21,'FCF Analysis'!D11:W11)+'FCF Analysis'!C11,"N/A")</f>
        <v>13663678793.033258</v>
      </c>
      <c r="G22" s="123">
        <f>IFERROR(NPV(G21,'FCF Analysis'!D11:W11)+'FCF Analysis'!C11,"N/A")</f>
        <v>12405787999.241425</v>
      </c>
      <c r="H22" s="123">
        <f>IFERROR(NPV(H21,'FCF Analysis'!D11:W11)+'FCF Analysis'!C11,"N/A")</f>
        <v>11297390054.429224</v>
      </c>
    </row>
    <row r="23" spans="1:8" ht="15" customHeight="1" x14ac:dyDescent="0.2">
      <c r="A23" s="130" t="s">
        <v>645</v>
      </c>
      <c r="B23" s="45">
        <f>'FCF Analysis'!B21</f>
        <v>1.5877773429214854</v>
      </c>
      <c r="C23" s="45">
        <f>'FCF Analysis'!B21</f>
        <v>1.5877773429214854</v>
      </c>
      <c r="D23" s="45">
        <f>'FCF Analysis'!B21</f>
        <v>1.5877773429214854</v>
      </c>
      <c r="E23" s="45">
        <f>'FCF Analysis'!B21</f>
        <v>1.5877773429214854</v>
      </c>
      <c r="F23" s="45">
        <f>'FCF Analysis'!B21</f>
        <v>1.5877773429214854</v>
      </c>
      <c r="G23" s="45">
        <f>'FCF Analysis'!B21</f>
        <v>1.5877773429214854</v>
      </c>
    </row>
    <row r="24" spans="1:8" ht="15" customHeight="1" x14ac:dyDescent="0.2">
      <c r="A24" s="4" t="s">
        <v>646</v>
      </c>
    </row>
    <row r="25" spans="1:8" ht="15" customHeight="1" x14ac:dyDescent="0.2">
      <c r="A25" s="4" t="s">
        <v>647</v>
      </c>
    </row>
    <row r="26" spans="1:8" ht="15" customHeight="1" x14ac:dyDescent="0.2">
      <c r="A26" s="4" t="s">
        <v>648</v>
      </c>
    </row>
    <row r="27" spans="1:8" ht="15" customHeight="1" x14ac:dyDescent="0.2">
      <c r="A27" s="4" t="s">
        <v>649</v>
      </c>
    </row>
    <row r="28" spans="1:8" ht="15" customHeight="1" x14ac:dyDescent="0.2">
      <c r="A28" s="112" t="s">
        <v>650</v>
      </c>
    </row>
    <row r="29" spans="1:8" ht="15" customHeight="1" x14ac:dyDescent="0.2">
      <c r="A29" s="27" t="s">
        <v>651</v>
      </c>
      <c r="B29" s="20"/>
      <c r="C29" s="20"/>
      <c r="D29" s="20"/>
      <c r="E29" s="20"/>
      <c r="F29" s="20"/>
      <c r="G29" s="20"/>
      <c r="H29" s="20"/>
    </row>
    <row r="30" spans="1:8" ht="15" customHeight="1" x14ac:dyDescent="0.2">
      <c r="A30" s="22" t="s">
        <v>652</v>
      </c>
      <c r="B30" s="127">
        <v>1.5</v>
      </c>
      <c r="C30" s="127">
        <v>1.75</v>
      </c>
      <c r="D30" s="127">
        <v>2</v>
      </c>
      <c r="E30" s="127">
        <v>2.25</v>
      </c>
      <c r="F30" s="127">
        <v>2.5</v>
      </c>
    </row>
    <row r="31" spans="1:8" ht="15" customHeight="1" x14ac:dyDescent="0.2">
      <c r="A31" s="41">
        <v>1800</v>
      </c>
      <c r="B31" s="123"/>
      <c r="C31" s="123"/>
      <c r="D31" s="123"/>
      <c r="E31" s="123"/>
      <c r="F31" s="123"/>
    </row>
    <row r="32" spans="1:8" ht="15" customHeight="1" x14ac:dyDescent="0.2">
      <c r="A32" s="41">
        <v>2000</v>
      </c>
      <c r="B32" s="123"/>
      <c r="C32" s="123"/>
      <c r="D32" s="123"/>
      <c r="E32" s="123"/>
      <c r="F32" s="123"/>
    </row>
    <row r="33" spans="1:6" ht="15" customHeight="1" x14ac:dyDescent="0.2">
      <c r="A33" s="41">
        <v>2350</v>
      </c>
      <c r="B33" s="123"/>
      <c r="C33" s="123"/>
      <c r="D33" s="123"/>
      <c r="E33" s="123"/>
      <c r="F33" s="123"/>
    </row>
    <row r="34" spans="1:6" ht="15" customHeight="1" x14ac:dyDescent="0.2">
      <c r="A34" s="41">
        <v>2750</v>
      </c>
      <c r="B34" s="123"/>
      <c r="C34" s="123"/>
      <c r="D34" s="123"/>
      <c r="E34" s="123"/>
      <c r="F34" s="123"/>
    </row>
    <row r="35" spans="1:6" ht="15" customHeight="1" x14ac:dyDescent="0.2">
      <c r="A35" s="41">
        <v>3000</v>
      </c>
      <c r="B35" s="123"/>
      <c r="C35" s="123"/>
      <c r="D35" s="123"/>
      <c r="E35" s="123"/>
      <c r="F35" s="123"/>
    </row>
    <row r="37" spans="1:6" ht="15" customHeight="1" x14ac:dyDescent="0.2">
      <c r="A37" s="4" t="s">
        <v>653</v>
      </c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C14"/>
  <sheetViews>
    <sheetView zoomScaleNormal="100" workbookViewId="0"/>
  </sheetViews>
  <sheetFormatPr baseColWidth="10" defaultColWidth="8.6640625" defaultRowHeight="15" x14ac:dyDescent="0.2"/>
  <cols>
    <col min="1" max="1" width="35" customWidth="1"/>
    <col min="2" max="2" width="15" customWidth="1"/>
    <col min="3" max="3" width="55" customWidth="1"/>
  </cols>
  <sheetData>
    <row r="1" spans="1:3" ht="17.25" customHeight="1" x14ac:dyDescent="0.2">
      <c r="A1" s="131" t="s">
        <v>654</v>
      </c>
    </row>
    <row r="2" spans="1:3" ht="15" customHeight="1" x14ac:dyDescent="0.2">
      <c r="A2" s="132" t="s">
        <v>655</v>
      </c>
    </row>
    <row r="3" spans="1:3" ht="15" customHeight="1" x14ac:dyDescent="0.2">
      <c r="A3" s="5" t="s">
        <v>656</v>
      </c>
      <c r="B3" s="5" t="s">
        <v>657</v>
      </c>
      <c r="C3" s="5" t="s">
        <v>658</v>
      </c>
    </row>
    <row r="4" spans="1:3" ht="15" customHeight="1" x14ac:dyDescent="0.2">
      <c r="A4" s="55" t="s">
        <v>659</v>
      </c>
      <c r="B4" s="133" t="str">
        <f>IF(MAX(ABS('Balance Sheet'!C27),ABS('Balance Sheet'!D27),ABS('Balance Sheet'!E27),ABS('Balance Sheet'!F27),ABS('Balance Sheet'!G27),ABS('Balance Sheet'!H27),ABS('Balance Sheet'!I27),ABS('Balance Sheet'!J27),ABS('Balance Sheet'!K27),ABS('Balance Sheet'!L27),ABS('Balance Sheet'!M27),ABS('Balance Sheet'!N27),ABS('Balance Sheet'!O27),ABS('Balance Sheet'!P27),ABS('Balance Sheet'!Q27),ABS('Balance Sheet'!R27),ABS('Balance Sheet'!S27),ABS('Balance Sheet'!T27),ABS('Balance Sheet'!U27),ABS('Balance Sheet'!V27),ABS('Balance Sheet'!W27))&lt;1,"✓ PASS","✗ FAIL")</f>
        <v>✓ PASS</v>
      </c>
      <c r="C4" s="16" t="s">
        <v>660</v>
      </c>
    </row>
    <row r="5" spans="1:3" ht="15" customHeight="1" x14ac:dyDescent="0.2">
      <c r="A5" s="55" t="s">
        <v>661</v>
      </c>
      <c r="B5" s="133" t="str">
        <f>IF(MAX(ABS('Cash Flow'!D33-'Cash Flow'!D32-'Cash Flow'!D31),ABS('Cash Flow'!E33-'Cash Flow'!E32-'Cash Flow'!E31),ABS('Cash Flow'!F33-'Cash Flow'!F32-'Cash Flow'!F31),ABS('Cash Flow'!G33-'Cash Flow'!G32-'Cash Flow'!G31),ABS('Cash Flow'!H33-'Cash Flow'!H32-'Cash Flow'!H31),ABS('Cash Flow'!I33-'Cash Flow'!I32-'Cash Flow'!I31),ABS('Cash Flow'!J33-'Cash Flow'!J32-'Cash Flow'!J31),ABS('Cash Flow'!K33-'Cash Flow'!K32-'Cash Flow'!K31),ABS('Cash Flow'!L33-'Cash Flow'!L32-'Cash Flow'!L31),ABS('Cash Flow'!M33-'Cash Flow'!M32-'Cash Flow'!M31),ABS('Cash Flow'!N33-'Cash Flow'!N32-'Cash Flow'!N31),ABS('Cash Flow'!O33-'Cash Flow'!O32-'Cash Flow'!O31),ABS('Cash Flow'!P33-'Cash Flow'!P32-'Cash Flow'!P31),ABS('Cash Flow'!Q33-'Cash Flow'!Q32-'Cash Flow'!Q31),ABS('Cash Flow'!R33-'Cash Flow'!R32-'Cash Flow'!R31),ABS('Cash Flow'!S33-'Cash Flow'!S32-'Cash Flow'!S31),ABS('Cash Flow'!T33-'Cash Flow'!T32-'Cash Flow'!T31),ABS('Cash Flow'!U33-'Cash Flow'!U32-'Cash Flow'!U31),ABS('Cash Flow'!V33-'Cash Flow'!V32-'Cash Flow'!V31),ABS('Cash Flow'!W33-'Cash Flow'!W32-'Cash Flow'!W31))&lt;1,"✓ PASS","✗ FAIL")</f>
        <v>✓ PASS</v>
      </c>
      <c r="C5" s="16" t="s">
        <v>662</v>
      </c>
    </row>
    <row r="6" spans="1:3" ht="15" customHeight="1" x14ac:dyDescent="0.2">
      <c r="A6" s="55" t="s">
        <v>663</v>
      </c>
      <c r="B6" s="133" t="str">
        <f>IF('Debt Schedule'!N25&lt;=0,"✓ PASS","✗ FAIL")</f>
        <v>✗ FAIL</v>
      </c>
      <c r="C6" s="16" t="s">
        <v>664</v>
      </c>
    </row>
    <row r="7" spans="1:3" ht="15" customHeight="1" x14ac:dyDescent="0.2">
      <c r="A7" s="55" t="s">
        <v>665</v>
      </c>
      <c r="B7" s="133" t="str">
        <f>IF(ABS(SUM(Operations!C12:W12)-Assumptions!B19*Operations!C9*Assumptions!B29*Assumptions!B21*(Assumptions!B19-2)+Operations!D9*Assumptions!B29*Assumptions!B20+Operations!N9*Assumptions!B29*Assumptions!B22)&lt;100,"✓ PASS","~CHECK")</f>
        <v>~CHECK</v>
      </c>
      <c r="C7" s="16" t="s">
        <v>666</v>
      </c>
    </row>
    <row r="8" spans="1:3" ht="15" customHeight="1" x14ac:dyDescent="0.2">
      <c r="A8" s="55" t="s">
        <v>667</v>
      </c>
      <c r="B8" s="133" t="str">
        <f>"~CHECK (manual)"</f>
        <v>~CHECK (manual)</v>
      </c>
      <c r="C8" s="16" t="s">
        <v>668</v>
      </c>
    </row>
    <row r="9" spans="1:3" ht="15" customHeight="1" x14ac:dyDescent="0.2">
      <c r="A9" s="55" t="s">
        <v>669</v>
      </c>
      <c r="B9" s="133" t="str">
        <f>IF(MIN('Cash Flow'!C33,'Cash Flow'!D33,'Cash Flow'!E33,'Cash Flow'!F33,'Cash Flow'!G33,'Cash Flow'!H33,'Cash Flow'!I33,'Cash Flow'!J33,'Cash Flow'!K33,'Cash Flow'!L33,'Cash Flow'!M33,'Cash Flow'!N33)&gt;=0,"✓ PASS","✗ FAIL")</f>
        <v>✓ PASS</v>
      </c>
      <c r="C9" s="16" t="s">
        <v>670</v>
      </c>
    </row>
    <row r="10" spans="1:3" ht="15" customHeight="1" x14ac:dyDescent="0.2">
      <c r="A10" s="55" t="s">
        <v>671</v>
      </c>
      <c r="B10" s="133" t="str">
        <f>IF(OR('Cash Flow'!D38="FAIL",'Cash Flow'!E38="FAIL",'Cash Flow'!F38="FAIL",'Cash Flow'!G38="FAIL",'Cash Flow'!H38="FAIL",'Cash Flow'!I38="FAIL",'Cash Flow'!J38="FAIL",'Cash Flow'!K38="FAIL",'Cash Flow'!L38="FAIL",'Cash Flow'!M38="FAIL",'Cash Flow'!N38="FAIL",'Cash Flow'!O38="FAIL",'Cash Flow'!P38="FAIL",'Cash Flow'!Q38="FAIL",'Cash Flow'!R38="FAIL",'Cash Flow'!S38="FAIL",'Cash Flow'!T38="FAIL",'Cash Flow'!U38="FAIL",'Cash Flow'!V38="FAIL",'Cash Flow'!W38="FAIL"),"✗ FAIL","✓ PASS")</f>
        <v>✗ FAIL</v>
      </c>
      <c r="C10" s="16" t="s">
        <v>672</v>
      </c>
    </row>
    <row r="11" spans="1:3" ht="15" customHeight="1" x14ac:dyDescent="0.2">
      <c r="A11" s="55" t="s">
        <v>673</v>
      </c>
      <c r="B11" s="133" t="str">
        <f>IF(MAX('SA Tax Computation'!C26:W26)&lt;=0.34,"✓ PASS","✗ FAIL")</f>
        <v>✓ PASS</v>
      </c>
      <c r="C11" s="16" t="s">
        <v>674</v>
      </c>
    </row>
    <row r="12" spans="1:3" ht="15" customHeight="1" x14ac:dyDescent="0.2">
      <c r="A12" s="55" t="s">
        <v>675</v>
      </c>
      <c r="B12" s="134" t="str">
        <f>IF(AND(MIN('Income Statement'!D12:M12)&gt;=0.005,MAX('Income Statement'!D12:M12)&lt;=0.05),"✓ PASS","~CHECK")</f>
        <v>✓ PASS</v>
      </c>
      <c r="C12" s="16" t="s">
        <v>676</v>
      </c>
    </row>
    <row r="14" spans="1:3" ht="15" customHeight="1" x14ac:dyDescent="0.2">
      <c r="A14" s="135" t="s">
        <v>677</v>
      </c>
      <c r="B14" s="49" t="str">
        <f>IF(COUNTIF(B4:B12,"✗ FAIL")&gt;0,"✗ ISSUES FOUND","✓ ALL CHECKS PASS")</f>
        <v>✗ ISSUES FOUND</v>
      </c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V16"/>
  <sheetViews>
    <sheetView tabSelected="1" topLeftCell="A4" zoomScaleNormal="100" workbookViewId="0"/>
  </sheetViews>
  <sheetFormatPr baseColWidth="10" defaultColWidth="8.6640625" defaultRowHeight="15" x14ac:dyDescent="0.2"/>
  <cols>
    <col min="1" max="1" width="35" customWidth="1"/>
    <col min="2" max="2" width="12" customWidth="1"/>
    <col min="3" max="24" width="16" customWidth="1"/>
  </cols>
  <sheetData>
    <row r="1" spans="1:22" ht="17.25" customHeight="1" x14ac:dyDescent="0.2">
      <c r="A1" s="28" t="s">
        <v>678</v>
      </c>
    </row>
    <row r="3" spans="1:22" ht="15" customHeight="1" x14ac:dyDescent="0.2">
      <c r="A3" s="22" t="s">
        <v>679</v>
      </c>
      <c r="B3" s="136">
        <v>2025</v>
      </c>
      <c r="C3" s="136">
        <v>2026</v>
      </c>
      <c r="D3" s="136">
        <v>2027</v>
      </c>
      <c r="E3" s="136">
        <v>2028</v>
      </c>
      <c r="F3" s="136">
        <v>2029</v>
      </c>
      <c r="G3" s="136">
        <v>2030</v>
      </c>
      <c r="H3" s="136">
        <v>2031</v>
      </c>
      <c r="I3" s="136">
        <v>2032</v>
      </c>
      <c r="J3" s="136">
        <v>2033</v>
      </c>
      <c r="K3" s="136">
        <v>2034</v>
      </c>
      <c r="L3" s="136">
        <v>2035</v>
      </c>
      <c r="M3" s="136">
        <v>2036</v>
      </c>
      <c r="N3" s="136">
        <v>2037</v>
      </c>
      <c r="O3" s="136">
        <v>2038</v>
      </c>
      <c r="P3" s="136">
        <v>2039</v>
      </c>
      <c r="Q3" s="136">
        <v>2040</v>
      </c>
      <c r="R3" s="136">
        <v>2041</v>
      </c>
      <c r="S3" s="136">
        <v>2042</v>
      </c>
      <c r="T3" s="136">
        <v>2043</v>
      </c>
      <c r="U3" s="136">
        <v>2044</v>
      </c>
      <c r="V3" s="136">
        <v>2045</v>
      </c>
    </row>
    <row r="4" spans="1:22" ht="15" customHeight="1" x14ac:dyDescent="0.2">
      <c r="A4" s="55" t="s">
        <v>680</v>
      </c>
      <c r="B4" s="86">
        <f>'Income Statement'!C5/1000000</f>
        <v>0</v>
      </c>
      <c r="C4" s="86">
        <f>'Income Statement'!D5/1000000</f>
        <v>3836.4012550838329</v>
      </c>
      <c r="D4" s="86">
        <f>'Income Statement'!E5/1000000</f>
        <v>7973.1076300856184</v>
      </c>
      <c r="E4" s="86">
        <f>'Income Statement'!F5/1000000</f>
        <v>10470.683595209935</v>
      </c>
      <c r="F4" s="86">
        <f>'Income Statement'!G5/1000000</f>
        <v>11000.500185127559</v>
      </c>
      <c r="G4" s="86">
        <f>'Income Statement'!H5/1000000</f>
        <v>8157.9709372906</v>
      </c>
      <c r="H4" s="86">
        <f>'Income Statement'!I5/1000000</f>
        <v>12141.916044516463</v>
      </c>
      <c r="I4" s="86">
        <f>'Income Statement'!J5/1000000</f>
        <v>12756.296996368997</v>
      </c>
      <c r="J4" s="86">
        <f>'Income Statement'!K5/1000000</f>
        <v>13401.765624385267</v>
      </c>
      <c r="K4" s="86">
        <f>'Income Statement'!L5/1000000</f>
        <v>14079.894964979163</v>
      </c>
      <c r="L4" s="86">
        <f>'Income Statement'!M5/1000000</f>
        <v>3045.481280924992</v>
      </c>
      <c r="M4" s="86">
        <f>'Income Statement'!N5/1000000</f>
        <v>0</v>
      </c>
      <c r="N4" s="86">
        <f>'Income Statement'!O5/1000000</f>
        <v>0</v>
      </c>
      <c r="O4" s="86">
        <f>'Income Statement'!P5/1000000</f>
        <v>0</v>
      </c>
      <c r="P4" s="86">
        <f>'Income Statement'!Q5/1000000</f>
        <v>0</v>
      </c>
      <c r="Q4" s="86">
        <f>'Income Statement'!R5/1000000</f>
        <v>0</v>
      </c>
      <c r="R4" s="86">
        <f>'Income Statement'!S5/1000000</f>
        <v>0</v>
      </c>
      <c r="S4" s="86">
        <f>'Income Statement'!T5/1000000</f>
        <v>0</v>
      </c>
      <c r="T4" s="86">
        <f>'Income Statement'!U5/1000000</f>
        <v>0</v>
      </c>
      <c r="U4" s="86">
        <f>'Income Statement'!V5/1000000</f>
        <v>0</v>
      </c>
      <c r="V4" s="86">
        <f>'Income Statement'!W5/1000000</f>
        <v>0</v>
      </c>
    </row>
    <row r="5" spans="1:22" ht="15" customHeight="1" x14ac:dyDescent="0.2">
      <c r="A5" s="55" t="s">
        <v>681</v>
      </c>
      <c r="B5" s="86">
        <f>'Income Statement'!C17/1000000</f>
        <v>0</v>
      </c>
      <c r="C5" s="86">
        <f>'Income Statement'!D17/1000000</f>
        <v>1858.4153998995605</v>
      </c>
      <c r="D5" s="86">
        <f>'Income Statement'!E17/1000000</f>
        <v>3936.8101685158022</v>
      </c>
      <c r="E5" s="86">
        <f>'Income Statement'!F17/1000000</f>
        <v>5228.5999050805876</v>
      </c>
      <c r="F5" s="86">
        <f>'Income Statement'!G17/1000000</f>
        <v>5546.8745856128608</v>
      </c>
      <c r="G5" s="86">
        <f>'Income Statement'!H17/1000000</f>
        <v>4141.3986159303786</v>
      </c>
      <c r="H5" s="86">
        <f>'Income Statement'!I17/1000000</f>
        <v>6241.9496564391238</v>
      </c>
      <c r="I5" s="86">
        <f>'Income Statement'!J17/1000000</f>
        <v>6619.4316761923865</v>
      </c>
      <c r="J5" s="86">
        <f>'Income Statement'!K17/1000000</f>
        <v>7018.3440718171978</v>
      </c>
      <c r="K5" s="86">
        <f>'Income Statement'!L17/1000000</f>
        <v>7439.8613280006148</v>
      </c>
      <c r="L5" s="86">
        <f>'Income Statement'!M17/1000000</f>
        <v>1583.3958555304273</v>
      </c>
      <c r="M5" s="86">
        <f>'Income Statement'!N17/1000000</f>
        <v>0</v>
      </c>
      <c r="N5" s="86">
        <f>'Income Statement'!O17/1000000</f>
        <v>0</v>
      </c>
      <c r="O5" s="86">
        <f>'Income Statement'!P17/1000000</f>
        <v>0</v>
      </c>
      <c r="P5" s="86">
        <f>'Income Statement'!Q17/1000000</f>
        <v>0</v>
      </c>
      <c r="Q5" s="86">
        <f>'Income Statement'!R17/1000000</f>
        <v>0</v>
      </c>
      <c r="R5" s="86">
        <f>'Income Statement'!S17/1000000</f>
        <v>0</v>
      </c>
      <c r="S5" s="86">
        <f>'Income Statement'!T17/1000000</f>
        <v>0</v>
      </c>
      <c r="T5" s="86">
        <f>'Income Statement'!U17/1000000</f>
        <v>0</v>
      </c>
      <c r="U5" s="86">
        <f>'Income Statement'!V17/1000000</f>
        <v>0</v>
      </c>
      <c r="V5" s="86">
        <f>'Income Statement'!W17/1000000</f>
        <v>0</v>
      </c>
    </row>
    <row r="6" spans="1:22" ht="15" customHeight="1" x14ac:dyDescent="0.2">
      <c r="A6" s="55" t="s">
        <v>682</v>
      </c>
      <c r="B6" s="86">
        <f>'Income Statement'!C30/1000000</f>
        <v>-248.40000000000003</v>
      </c>
      <c r="C6" s="86">
        <f>'Income Statement'!D30/1000000</f>
        <v>1490.3236239383609</v>
      </c>
      <c r="D6" s="86">
        <f>'Income Statement'!E30/1000000</f>
        <v>2610.5787773716188</v>
      </c>
      <c r="E6" s="86">
        <f>'Income Statement'!F30/1000000</f>
        <v>3503.8569890259873</v>
      </c>
      <c r="F6" s="86">
        <f>'Income Statement'!G30/1000000</f>
        <v>3724.3504537565541</v>
      </c>
      <c r="G6" s="86">
        <f>'Income Statement'!H30/1000000</f>
        <v>2763.55728844744</v>
      </c>
      <c r="H6" s="86">
        <f>'Income Statement'!I30/1000000</f>
        <v>4217.4603008486829</v>
      </c>
      <c r="I6" s="86">
        <f>'Income Statement'!J30/1000000</f>
        <v>4478.3540970157392</v>
      </c>
      <c r="J6" s="86">
        <f>'Income Statement'!K30/1000000</f>
        <v>4753.8769739014861</v>
      </c>
      <c r="K6" s="86">
        <f>'Income Statement'!L30/1000000</f>
        <v>5044.829039535648</v>
      </c>
      <c r="L6" s="86">
        <f>'Income Statement'!M30/1000000</f>
        <v>1009.3205620285312</v>
      </c>
      <c r="M6" s="86">
        <f>'Income Statement'!N30/1000000</f>
        <v>0.32499999999999574</v>
      </c>
      <c r="N6" s="86">
        <f>'Income Statement'!O30/1000000</f>
        <v>43.168869400246038</v>
      </c>
      <c r="O6" s="86">
        <f>'Income Statement'!P30/1000000</f>
        <v>45.974845911262037</v>
      </c>
      <c r="P6" s="86">
        <f>'Income Statement'!Q30/1000000</f>
        <v>48.963210895494065</v>
      </c>
      <c r="Q6" s="86">
        <f>'Income Statement'!R30/1000000</f>
        <v>52.145819603701185</v>
      </c>
      <c r="R6" s="86">
        <f>'Income Statement'!S30/1000000</f>
        <v>55.535297877941765</v>
      </c>
      <c r="S6" s="86">
        <f>'Income Statement'!T30/1000000</f>
        <v>59.145092240007976</v>
      </c>
      <c r="T6" s="86">
        <f>'Income Statement'!U30/1000000</f>
        <v>62.989523235608495</v>
      </c>
      <c r="U6" s="86">
        <f>'Income Statement'!V30/1000000</f>
        <v>67.083842245923037</v>
      </c>
      <c r="V6" s="86">
        <f>'Income Statement'!W30/1000000</f>
        <v>71.444291991908045</v>
      </c>
    </row>
    <row r="7" spans="1:22" ht="15" customHeight="1" x14ac:dyDescent="0.2">
      <c r="A7" s="55" t="s">
        <v>683</v>
      </c>
      <c r="B7" s="86">
        <f>'FCF Analysis'!C11/1000000</f>
        <v>-920</v>
      </c>
      <c r="C7" s="86">
        <f>'FCF Analysis'!D11/1000000</f>
        <v>743.75026310255726</v>
      </c>
      <c r="D7" s="86">
        <f>'FCF Analysis'!E11/1000000</f>
        <v>2083.1589122233845</v>
      </c>
      <c r="E7" s="86">
        <f>'FCF Analysis'!F11/1000000</f>
        <v>3242.529606325943</v>
      </c>
      <c r="F7" s="86">
        <f>'FCF Analysis'!G11/1000000</f>
        <v>3786.8169061375361</v>
      </c>
      <c r="G7" s="86">
        <f>'FCF Analysis'!H11/1000000</f>
        <v>3276.8966695383606</v>
      </c>
      <c r="H7" s="86">
        <f>'FCF Analysis'!I11/1000000</f>
        <v>3702.0185747788873</v>
      </c>
      <c r="I7" s="86">
        <f>'FCF Analysis'!J11/1000000</f>
        <v>4514.1407669255677</v>
      </c>
      <c r="J7" s="86">
        <f>'FCF Analysis'!K11/1000000</f>
        <v>4783.9132085823203</v>
      </c>
      <c r="K7" s="86">
        <f>'FCF Analysis'!L11/1000000</f>
        <v>5068.9354309283062</v>
      </c>
      <c r="L7" s="86">
        <f>'FCF Analysis'!M11/1000000</f>
        <v>2912.8133655902252</v>
      </c>
      <c r="M7" s="86">
        <f>'FCF Analysis'!N11/1000000</f>
        <v>493.01407677612366</v>
      </c>
      <c r="N7" s="86">
        <f>'FCF Analysis'!O11/1000000</f>
        <v>0</v>
      </c>
      <c r="O7" s="86">
        <f>'FCF Analysis'!P11/1000000</f>
        <v>0</v>
      </c>
      <c r="P7" s="86">
        <f>'FCF Analysis'!Q11/1000000</f>
        <v>0</v>
      </c>
      <c r="Q7" s="86">
        <f>'FCF Analysis'!R11/1000000</f>
        <v>0</v>
      </c>
      <c r="R7" s="86">
        <f>'FCF Analysis'!S11/1000000</f>
        <v>0</v>
      </c>
      <c r="S7" s="86">
        <f>'FCF Analysis'!T11/1000000</f>
        <v>0</v>
      </c>
      <c r="T7" s="86">
        <f>'FCF Analysis'!U11/1000000</f>
        <v>0</v>
      </c>
      <c r="U7" s="86">
        <f>'FCF Analysis'!V11/1000000</f>
        <v>0</v>
      </c>
      <c r="V7" s="86">
        <f>'FCF Analysis'!W11/1000000</f>
        <v>0</v>
      </c>
    </row>
    <row r="8" spans="1:22" ht="15" customHeight="1" x14ac:dyDescent="0.2">
      <c r="A8" s="55" t="s">
        <v>684</v>
      </c>
      <c r="B8" s="86">
        <f>'FCF Analysis'!C18/1000000</f>
        <v>-378</v>
      </c>
      <c r="C8" s="86">
        <f>'FCF Analysis'!D18/1000000</f>
        <v>699.59177122397898</v>
      </c>
      <c r="D8" s="86">
        <f>'FCF Analysis'!E18/1000000</f>
        <v>1992.62295487919</v>
      </c>
      <c r="E8" s="86">
        <f>'FCF Analysis'!F18/1000000</f>
        <v>3155.2173080223101</v>
      </c>
      <c r="F8" s="86">
        <f>'FCF Analysis'!G18/1000000</f>
        <v>3702.7175134437143</v>
      </c>
      <c r="G8" s="86">
        <f>'FCF Analysis'!H18/1000000</f>
        <v>2992.7085121730197</v>
      </c>
      <c r="H8" s="86">
        <f>'FCF Analysis'!I18/1000000</f>
        <v>3644.0648875156476</v>
      </c>
      <c r="I8" s="86">
        <f>'FCF Analysis'!J18/1000000</f>
        <v>4459.3771555691601</v>
      </c>
      <c r="J8" s="86">
        <f>'FCF Analysis'!K18/1000000</f>
        <v>4732.3364804543717</v>
      </c>
      <c r="K8" s="86">
        <f>'FCF Analysis'!L18/1000000</f>
        <v>5068.9354309283062</v>
      </c>
      <c r="L8" s="86">
        <f>'FCF Analysis'!M18/1000000</f>
        <v>2912.8133655902252</v>
      </c>
      <c r="M8" s="86">
        <f>'FCF Analysis'!N18/1000000</f>
        <v>493.01407677612366</v>
      </c>
      <c r="N8" s="86">
        <f>'FCF Analysis'!O18/1000000</f>
        <v>-4.2468309402465824E-15</v>
      </c>
      <c r="O8" s="86">
        <f>'FCF Analysis'!P18/1000000</f>
        <v>-4.2468309402465824E-15</v>
      </c>
      <c r="P8" s="86">
        <f>'FCF Analysis'!Q18/1000000</f>
        <v>-4.2468309402465824E-15</v>
      </c>
      <c r="Q8" s="86">
        <f>'FCF Analysis'!R18/1000000</f>
        <v>-4.2468309402465824E-15</v>
      </c>
      <c r="R8" s="86">
        <f>'FCF Analysis'!S18/1000000</f>
        <v>-4.2468309402465824E-15</v>
      </c>
      <c r="S8" s="86">
        <f>'FCF Analysis'!T18/1000000</f>
        <v>-4.2468309402465824E-15</v>
      </c>
      <c r="T8" s="86">
        <f>'FCF Analysis'!U18/1000000</f>
        <v>-4.2468309402465824E-15</v>
      </c>
      <c r="U8" s="86">
        <f>'FCF Analysis'!V18/1000000</f>
        <v>-4.2468309402465824E-15</v>
      </c>
      <c r="V8" s="86">
        <f>'FCF Analysis'!W18/1000000</f>
        <v>-4.2468309402465824E-15</v>
      </c>
    </row>
    <row r="9" spans="1:22" ht="15" customHeight="1" x14ac:dyDescent="0.2">
      <c r="A9" s="55" t="s">
        <v>685</v>
      </c>
      <c r="B9" s="86">
        <f>'Debt Schedule'!C25/1000000</f>
        <v>542</v>
      </c>
      <c r="C9" s="86">
        <f>'Debt Schedule'!D25/1000000</f>
        <v>542</v>
      </c>
      <c r="D9" s="86">
        <f>'Debt Schedule'!E25/1000000</f>
        <v>493.60714285714289</v>
      </c>
      <c r="E9" s="86">
        <f>'Debt Schedule'!F25/1000000</f>
        <v>445.21428571428572</v>
      </c>
      <c r="F9" s="86">
        <f>'Debt Schedule'!G25/1000000</f>
        <v>396.82142857142861</v>
      </c>
      <c r="G9" s="86">
        <f>'Debt Schedule'!H25/1000000</f>
        <v>145.17857142857147</v>
      </c>
      <c r="H9" s="86">
        <f>'Debt Schedule'!I25/1000000</f>
        <v>96.785714285714334</v>
      </c>
      <c r="I9" s="86">
        <f>'Debt Schedule'!J25/1000000</f>
        <v>48.392857142857189</v>
      </c>
      <c r="J9" s="86">
        <f>'Debt Schedule'!K25/1000000</f>
        <v>4.470348358154297E-14</v>
      </c>
      <c r="K9" s="86">
        <f>'Debt Schedule'!L25/1000000</f>
        <v>4.470348358154297E-14</v>
      </c>
      <c r="L9" s="86">
        <f>'Debt Schedule'!M25/1000000</f>
        <v>4.470348358154297E-14</v>
      </c>
      <c r="M9" s="86">
        <f>'Debt Schedule'!N25/1000000</f>
        <v>4.470348358154297E-14</v>
      </c>
      <c r="N9" s="86">
        <f>'Debt Schedule'!O25/1000000</f>
        <v>4.470348358154297E-14</v>
      </c>
      <c r="O9" s="86">
        <f>'Debt Schedule'!P25/1000000</f>
        <v>4.470348358154297E-14</v>
      </c>
      <c r="P9" s="86">
        <f>'Debt Schedule'!Q25/1000000</f>
        <v>4.470348358154297E-14</v>
      </c>
      <c r="Q9" s="86">
        <f>'Debt Schedule'!R25/1000000</f>
        <v>4.470348358154297E-14</v>
      </c>
      <c r="R9" s="86">
        <f>'Debt Schedule'!S25/1000000</f>
        <v>4.470348358154297E-14</v>
      </c>
      <c r="S9" s="86">
        <f>'Debt Schedule'!T25/1000000</f>
        <v>4.470348358154297E-14</v>
      </c>
      <c r="T9" s="86">
        <f>'Debt Schedule'!U25/1000000</f>
        <v>4.470348358154297E-14</v>
      </c>
      <c r="U9" s="86">
        <f>'Debt Schedule'!V25/1000000</f>
        <v>4.470348358154297E-14</v>
      </c>
      <c r="V9" s="86">
        <f>'Debt Schedule'!W25/1000000</f>
        <v>4.470348358154297E-14</v>
      </c>
    </row>
    <row r="10" spans="1:22" ht="15" customHeight="1" x14ac:dyDescent="0.2">
      <c r="A10" s="55" t="s">
        <v>686</v>
      </c>
      <c r="B10" s="86">
        <f>'Cash Flow'!C33/1000000</f>
        <v>435</v>
      </c>
      <c r="C10" s="86">
        <f>'Cash Flow'!D33/1000000</f>
        <v>5</v>
      </c>
      <c r="D10" s="86">
        <f>'Cash Flow'!E33/1000000</f>
        <v>5</v>
      </c>
      <c r="E10" s="86">
        <f>'Cash Flow'!F33/1000000</f>
        <v>5</v>
      </c>
      <c r="F10" s="86">
        <f>'Cash Flow'!G33/1000000</f>
        <v>5</v>
      </c>
      <c r="G10" s="86">
        <f>'Cash Flow'!H33/1000000</f>
        <v>5</v>
      </c>
      <c r="H10" s="86">
        <f>'Cash Flow'!I33/1000000</f>
        <v>5</v>
      </c>
      <c r="I10" s="86">
        <f>'Cash Flow'!J33/1000000</f>
        <v>5</v>
      </c>
      <c r="J10" s="86">
        <f>'Cash Flow'!K33/1000000</f>
        <v>5</v>
      </c>
      <c r="K10" s="86">
        <f>'Cash Flow'!L33/1000000</f>
        <v>5</v>
      </c>
      <c r="L10" s="86">
        <f>'Cash Flow'!M33/1000000</f>
        <v>5</v>
      </c>
      <c r="M10" s="86">
        <f>'Cash Flow'!N33/1000000</f>
        <v>664.13645231147768</v>
      </c>
      <c r="N10" s="86">
        <f>'Cash Flow'!O33/1000000</f>
        <v>707.30532171172365</v>
      </c>
      <c r="O10" s="86">
        <f>'Cash Flow'!P33/1000000</f>
        <v>753.28016762298569</v>
      </c>
      <c r="P10" s="86">
        <f>'Cash Flow'!Q33/1000000</f>
        <v>802.24337851847986</v>
      </c>
      <c r="Q10" s="86">
        <f>'Cash Flow'!R33/1000000</f>
        <v>854.38919812218103</v>
      </c>
      <c r="R10" s="86">
        <f>'Cash Flow'!S33/1000000</f>
        <v>909.92449600012276</v>
      </c>
      <c r="S10" s="86">
        <f>'Cash Flow'!T33/1000000</f>
        <v>969.06958824013077</v>
      </c>
      <c r="T10" s="86">
        <f>'Cash Flow'!U33/1000000</f>
        <v>1032.0591114757392</v>
      </c>
      <c r="U10" s="86">
        <f>'Cash Flow'!V33/1000000</f>
        <v>1099.1429537216623</v>
      </c>
      <c r="V10" s="86">
        <f>'Cash Flow'!W33/1000000</f>
        <v>1170.5872457135704</v>
      </c>
    </row>
    <row r="11" spans="1:22" ht="15" customHeight="1" x14ac:dyDescent="0.2">
      <c r="A11" s="55" t="s">
        <v>687</v>
      </c>
      <c r="B11" s="86">
        <f>'Cash Flow'!C27/1000000</f>
        <v>0</v>
      </c>
      <c r="C11" s="86">
        <f>'Cash Flow'!D27/1000000</f>
        <v>-1117.3647596999124</v>
      </c>
      <c r="D11" s="86">
        <f>'Cash Flow'!E27/1000000</f>
        <v>-1612.8869077201418</v>
      </c>
      <c r="E11" s="86">
        <f>'Cash Flow'!F27/1000000</f>
        <v>-2578.6992972954736</v>
      </c>
      <c r="F11" s="86">
        <f>'Cash Flow'!G27/1000000</f>
        <v>-3033.1000888635476</v>
      </c>
      <c r="G11" s="86">
        <f>'Cash Flow'!H27/1000000</f>
        <v>-2468.6635848576207</v>
      </c>
      <c r="H11" s="86">
        <f>'Cash Flow'!I27/1000000</f>
        <v>-2977.9539241496382</v>
      </c>
      <c r="I11" s="86">
        <f>'Cash Flow'!J27/1000000</f>
        <v>-3655.2548975673635</v>
      </c>
      <c r="J11" s="86">
        <f>'Cash Flow'!K27/1000000</f>
        <v>-3880.4906297056668</v>
      </c>
      <c r="K11" s="86">
        <f>'Cash Flow'!L27/1000000</f>
        <v>-4158.6485909956191</v>
      </c>
      <c r="L11" s="86">
        <f>'Cash Flow'!M27/1000000</f>
        <v>-2452.0061971104942</v>
      </c>
      <c r="M11" s="86">
        <f>'Cash Flow'!N27/1000000</f>
        <v>0</v>
      </c>
      <c r="N11" s="86">
        <f>'Cash Flow'!O27/1000000</f>
        <v>0</v>
      </c>
      <c r="O11" s="86">
        <f>'Cash Flow'!P27/1000000</f>
        <v>0</v>
      </c>
      <c r="P11" s="86">
        <f>'Cash Flow'!Q27/1000000</f>
        <v>0</v>
      </c>
      <c r="Q11" s="86">
        <f>'Cash Flow'!R27/1000000</f>
        <v>0</v>
      </c>
      <c r="R11" s="86">
        <f>'Cash Flow'!S27/1000000</f>
        <v>0</v>
      </c>
      <c r="S11" s="86">
        <f>'Cash Flow'!T27/1000000</f>
        <v>0</v>
      </c>
      <c r="T11" s="86">
        <f>'Cash Flow'!U27/1000000</f>
        <v>0</v>
      </c>
      <c r="U11" s="86">
        <f>'Cash Flow'!V27/1000000</f>
        <v>0</v>
      </c>
      <c r="V11" s="86">
        <f>'Cash Flow'!W27/1000000</f>
        <v>0</v>
      </c>
    </row>
    <row r="12" spans="1:22" ht="15" customHeight="1" x14ac:dyDescent="0.2">
      <c r="A12" s="55" t="s">
        <v>688</v>
      </c>
      <c r="B12" s="40">
        <f>Operations!C12</f>
        <v>0</v>
      </c>
      <c r="C12" s="40">
        <f>Operations!D12</f>
        <v>2612.5</v>
      </c>
      <c r="D12" s="40">
        <f>Operations!E12</f>
        <v>5168</v>
      </c>
      <c r="E12" s="40">
        <f>Operations!F12</f>
        <v>6460</v>
      </c>
      <c r="F12" s="40">
        <f>Operations!G12</f>
        <v>6460</v>
      </c>
      <c r="G12" s="40">
        <f>Operations!H12</f>
        <v>4560</v>
      </c>
      <c r="H12" s="40">
        <f>Operations!I12</f>
        <v>6460</v>
      </c>
      <c r="I12" s="40">
        <f>Operations!J12</f>
        <v>6460</v>
      </c>
      <c r="J12" s="40">
        <f>Operations!K12</f>
        <v>6460</v>
      </c>
      <c r="K12" s="40">
        <f>Operations!L12</f>
        <v>6460</v>
      </c>
      <c r="L12" s="40">
        <f>Operations!M12</f>
        <v>1330</v>
      </c>
      <c r="M12" s="40">
        <f>Operations!N12</f>
        <v>0</v>
      </c>
      <c r="N12" s="40">
        <f>Operations!O12</f>
        <v>0</v>
      </c>
      <c r="O12" s="40">
        <f>Operations!P12</f>
        <v>0</v>
      </c>
      <c r="P12" s="40">
        <f>Operations!Q12</f>
        <v>0</v>
      </c>
      <c r="Q12" s="40">
        <f>Operations!R12</f>
        <v>0</v>
      </c>
      <c r="R12" s="40">
        <f>Operations!S12</f>
        <v>0</v>
      </c>
      <c r="S12" s="40">
        <f>Operations!T12</f>
        <v>0</v>
      </c>
      <c r="T12" s="40">
        <f>Operations!U12</f>
        <v>0</v>
      </c>
      <c r="U12" s="40">
        <f>Operations!V12</f>
        <v>0</v>
      </c>
      <c r="V12" s="40">
        <f>Operations!W12</f>
        <v>0</v>
      </c>
    </row>
    <row r="13" spans="1:22" ht="15" customHeight="1" x14ac:dyDescent="0.2">
      <c r="A13" s="55" t="s">
        <v>261</v>
      </c>
      <c r="B13" s="86">
        <f>Operations!C16</f>
        <v>1397.7526644911345</v>
      </c>
      <c r="C13" s="86">
        <f>Operations!D16</f>
        <v>1468.4789493143858</v>
      </c>
      <c r="D13" s="86">
        <f>Operations!E16</f>
        <v>1542.7839841496939</v>
      </c>
      <c r="E13" s="86">
        <f>Operations!F16</f>
        <v>1620.8488537476683</v>
      </c>
      <c r="F13" s="86">
        <f>Operations!G16</f>
        <v>1702.8638057473004</v>
      </c>
      <c r="G13" s="86">
        <f>Operations!H16</f>
        <v>1789.028714318114</v>
      </c>
      <c r="H13" s="86">
        <f>Operations!I16</f>
        <v>1879.5535672626106</v>
      </c>
      <c r="I13" s="86">
        <f>Operations!J16</f>
        <v>1974.6589777660986</v>
      </c>
      <c r="J13" s="86">
        <f>Operations!K16</f>
        <v>2074.576722041063</v>
      </c>
      <c r="K13" s="86">
        <f>Operations!L16</f>
        <v>2179.5503041763409</v>
      </c>
      <c r="L13" s="86">
        <f>Operations!M16</f>
        <v>2289.8355495676633</v>
      </c>
      <c r="M13" s="86">
        <f>Operations!N16</f>
        <v>2405.7012283757877</v>
      </c>
      <c r="N13" s="86">
        <f>Operations!O16</f>
        <v>2527.4297105316027</v>
      </c>
      <c r="O13" s="86">
        <f>Operations!P16</f>
        <v>2655.3176538845019</v>
      </c>
      <c r="P13" s="86">
        <f>Operations!Q16</f>
        <v>2789.6767271710578</v>
      </c>
      <c r="Q13" s="86">
        <f>Operations!R16</f>
        <v>2930.8343695659137</v>
      </c>
      <c r="R13" s="86">
        <f>Operations!S16</f>
        <v>3079.1345886659492</v>
      </c>
      <c r="S13" s="86">
        <f>Operations!T16</f>
        <v>3234.9387988524468</v>
      </c>
      <c r="T13" s="86">
        <f>Operations!U16</f>
        <v>3398.6267020743803</v>
      </c>
      <c r="U13" s="86">
        <f>Operations!V16</f>
        <v>3570.5972131993444</v>
      </c>
      <c r="V13" s="86">
        <f>Operations!W16</f>
        <v>3751.2694321872309</v>
      </c>
    </row>
    <row r="15" spans="1:22" x14ac:dyDescent="0.2">
      <c r="A15" s="55" t="s">
        <v>689</v>
      </c>
      <c r="B15" s="40">
        <f>'By-product Revenue'!C31/1000000</f>
        <v>0</v>
      </c>
      <c r="C15" s="40">
        <f>'By-product Revenue'!D31/1000000</f>
        <v>304.99879909464477</v>
      </c>
      <c r="D15" s="40">
        <f>'By-product Revenue'!E31/1000000</f>
        <v>635.93671873049311</v>
      </c>
      <c r="E15" s="40">
        <f>'By-product Revenue'!F31/1000000</f>
        <v>837.72449587282017</v>
      </c>
      <c r="F15" s="40">
        <f>'By-product Revenue'!G31/1000000</f>
        <v>882.69395536398486</v>
      </c>
      <c r="G15" s="40">
        <f>'By-product Revenue'!H31/1000000</f>
        <v>656.42743729793131</v>
      </c>
      <c r="H15" s="40">
        <f>'By-product Revenue'!I31/1000000</f>
        <v>979.57437630237575</v>
      </c>
      <c r="I15" s="40">
        <f>'By-product Revenue'!J31/1000000</f>
        <v>1031.7214397432761</v>
      </c>
      <c r="J15" s="40">
        <f>'By-product Revenue'!K31/1000000</f>
        <v>1086.507144594286</v>
      </c>
      <c r="K15" s="40">
        <f>'By-product Revenue'!L31/1000000</f>
        <v>1144.0650061107569</v>
      </c>
      <c r="L15" s="40">
        <f>'By-product Revenue'!M31/1000000</f>
        <v>247.99256082175668</v>
      </c>
      <c r="M15" s="40">
        <f>'By-product Revenue'!N31/1000000</f>
        <v>0</v>
      </c>
      <c r="N15" s="40">
        <f>'By-product Revenue'!O31/1000000</f>
        <v>0</v>
      </c>
      <c r="O15" s="40">
        <f>'By-product Revenue'!P31/1000000</f>
        <v>0</v>
      </c>
      <c r="P15" s="40">
        <f>'By-product Revenue'!Q31/1000000</f>
        <v>0</v>
      </c>
      <c r="Q15" s="40">
        <f>'By-product Revenue'!R31/1000000</f>
        <v>0</v>
      </c>
      <c r="R15" s="40">
        <f>'By-product Revenue'!S31/1000000</f>
        <v>0</v>
      </c>
      <c r="S15" s="40">
        <f>'By-product Revenue'!T31/1000000</f>
        <v>0</v>
      </c>
      <c r="T15" s="40">
        <f>'By-product Revenue'!U31/1000000</f>
        <v>0</v>
      </c>
      <c r="U15" s="40">
        <f>'By-product Revenue'!V31/1000000</f>
        <v>0</v>
      </c>
    </row>
    <row r="16" spans="1:22" x14ac:dyDescent="0.2">
      <c r="A16" s="55" t="s">
        <v>690</v>
      </c>
      <c r="B16" s="40">
        <f>('Income Statement'!C5+'By-product Revenue'!C31)/1000000</f>
        <v>0</v>
      </c>
      <c r="C16" s="40">
        <f>('Income Statement'!D5+'By-product Revenue'!D31)/1000000</f>
        <v>4141.4000541784771</v>
      </c>
      <c r="D16" s="40">
        <f>('Income Statement'!E5+'By-product Revenue'!E31)/1000000</f>
        <v>8609.0443488161109</v>
      </c>
      <c r="E16" s="40">
        <f>('Income Statement'!F5+'By-product Revenue'!F31)/1000000</f>
        <v>11308.408091082756</v>
      </c>
      <c r="F16" s="40">
        <f>('Income Statement'!G5+'By-product Revenue'!G31)/1000000</f>
        <v>11883.194140491545</v>
      </c>
      <c r="G16" s="40">
        <f>('Income Statement'!H5+'By-product Revenue'!H31)/1000000</f>
        <v>8814.3983745885307</v>
      </c>
      <c r="H16" s="40">
        <f>('Income Statement'!I5+'By-product Revenue'!I31)/1000000</f>
        <v>13121.49042081884</v>
      </c>
      <c r="I16" s="40">
        <f>('Income Statement'!J5+'By-product Revenue'!J31)/1000000</f>
        <v>13788.018436112274</v>
      </c>
      <c r="J16" s="40">
        <f>('Income Statement'!K5+'By-product Revenue'!K31)/1000000</f>
        <v>14488.272768979554</v>
      </c>
      <c r="K16" s="40">
        <f>('Income Statement'!L5+'By-product Revenue'!L31)/1000000</f>
        <v>15223.95997108992</v>
      </c>
      <c r="L16" s="40">
        <f>('Income Statement'!M5+'By-product Revenue'!M31)/1000000</f>
        <v>3293.4738417467488</v>
      </c>
      <c r="M16" s="40">
        <f>('Income Statement'!N5+'By-product Revenue'!N31)/1000000</f>
        <v>0</v>
      </c>
      <c r="N16" s="40">
        <f>('Income Statement'!O5+'By-product Revenue'!O31)/1000000</f>
        <v>0</v>
      </c>
      <c r="O16" s="40">
        <f>('Income Statement'!P5+'By-product Revenue'!P31)/1000000</f>
        <v>0</v>
      </c>
      <c r="P16" s="40">
        <f>('Income Statement'!Q5+'By-product Revenue'!Q31)/1000000</f>
        <v>0</v>
      </c>
      <c r="Q16" s="40">
        <f>('Income Statement'!R5+'By-product Revenue'!R31)/1000000</f>
        <v>0</v>
      </c>
      <c r="R16" s="40">
        <f>('Income Statement'!S5+'By-product Revenue'!S31)/1000000</f>
        <v>0</v>
      </c>
      <c r="S16" s="40">
        <f>('Income Statement'!T5+'By-product Revenue'!T31)/1000000</f>
        <v>0</v>
      </c>
      <c r="T16" s="40">
        <f>('Income Statement'!U5+'By-product Revenue'!U31)/1000000</f>
        <v>0</v>
      </c>
      <c r="U16" s="40">
        <f>('Income Statement'!V5+'By-product Revenue'!V31)/1000000</f>
        <v>0</v>
      </c>
    </row>
  </sheetData>
  <pageMargins left="0.75" right="0.75" top="1" bottom="1" header="0.511811023622047" footer="0.511811023622047"/>
  <pageSetup paperSize="8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472C4"/>
    <pageSetUpPr fitToPage="1"/>
  </sheetPr>
  <dimension ref="A1:G135"/>
  <sheetViews>
    <sheetView zoomScaleNormal="100" workbookViewId="0">
      <pane xSplit="2" ySplit="3" topLeftCell="C28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5" customWidth="1"/>
    <col min="2" max="2" width="12" customWidth="1"/>
    <col min="3" max="24" width="16" customWidth="1"/>
  </cols>
  <sheetData>
    <row r="1" spans="1:6" ht="17.25" customHeight="1" x14ac:dyDescent="0.2">
      <c r="A1" s="28" t="s">
        <v>83</v>
      </c>
    </row>
    <row r="2" spans="1:6" ht="15" customHeight="1" x14ac:dyDescent="0.2">
      <c r="A2" s="29" t="s">
        <v>84</v>
      </c>
    </row>
    <row r="4" spans="1:6" ht="15" customHeight="1" x14ac:dyDescent="0.2">
      <c r="A4" s="27" t="s">
        <v>85</v>
      </c>
      <c r="B4" s="20"/>
      <c r="C4" s="20"/>
      <c r="D4" s="27" t="s">
        <v>86</v>
      </c>
      <c r="E4" s="20"/>
      <c r="F4" s="20"/>
    </row>
    <row r="5" spans="1:6" ht="15" customHeight="1" x14ac:dyDescent="0.2">
      <c r="A5" s="22" t="s">
        <v>87</v>
      </c>
      <c r="B5" s="30" t="s">
        <v>88</v>
      </c>
      <c r="D5" s="22" t="s">
        <v>89</v>
      </c>
      <c r="E5" s="31">
        <v>45</v>
      </c>
    </row>
    <row r="6" spans="1:6" ht="15" customHeight="1" x14ac:dyDescent="0.2">
      <c r="A6" s="22" t="s">
        <v>90</v>
      </c>
      <c r="B6" s="30">
        <v>2025</v>
      </c>
      <c r="D6" s="22" t="s">
        <v>91</v>
      </c>
      <c r="E6" s="31">
        <v>60</v>
      </c>
    </row>
    <row r="7" spans="1:6" ht="15" customHeight="1" x14ac:dyDescent="0.2">
      <c r="A7" s="22" t="s">
        <v>92</v>
      </c>
      <c r="B7" s="30">
        <v>20</v>
      </c>
      <c r="D7" s="22" t="s">
        <v>93</v>
      </c>
      <c r="E7" s="31">
        <v>30</v>
      </c>
    </row>
    <row r="8" spans="1:6" ht="15" customHeight="1" x14ac:dyDescent="0.2">
      <c r="A8" s="22" t="s">
        <v>94</v>
      </c>
      <c r="B8" s="32">
        <v>0.06</v>
      </c>
      <c r="D8" s="22" t="s">
        <v>95</v>
      </c>
      <c r="E8" s="31">
        <v>5</v>
      </c>
    </row>
    <row r="9" spans="1:6" ht="15" customHeight="1" x14ac:dyDescent="0.2">
      <c r="A9" s="22" t="s">
        <v>96</v>
      </c>
      <c r="B9" s="33">
        <v>18.5</v>
      </c>
      <c r="D9" s="22" t="s">
        <v>97</v>
      </c>
      <c r="E9" s="31">
        <v>3</v>
      </c>
    </row>
    <row r="10" spans="1:6" ht="15" customHeight="1" x14ac:dyDescent="0.2">
      <c r="A10" s="22" t="s">
        <v>98</v>
      </c>
      <c r="B10" s="32">
        <v>0.03</v>
      </c>
    </row>
    <row r="11" spans="1:6" ht="15" customHeight="1" x14ac:dyDescent="0.2">
      <c r="D11" s="27" t="s">
        <v>99</v>
      </c>
      <c r="E11" s="20"/>
      <c r="F11" s="20"/>
    </row>
    <row r="12" spans="1:6" ht="15" customHeight="1" x14ac:dyDescent="0.2">
      <c r="A12" s="27" t="s">
        <v>100</v>
      </c>
      <c r="B12" s="20"/>
      <c r="C12" s="20"/>
      <c r="D12" s="18" t="s">
        <v>101</v>
      </c>
      <c r="E12" s="34" t="s">
        <v>102</v>
      </c>
      <c r="F12" s="20"/>
    </row>
    <row r="13" spans="1:6" ht="15" customHeight="1" x14ac:dyDescent="0.2">
      <c r="A13" s="22" t="s">
        <v>103</v>
      </c>
      <c r="B13" s="35">
        <v>2350</v>
      </c>
      <c r="D13" s="22" t="s">
        <v>104</v>
      </c>
      <c r="E13" s="31"/>
    </row>
    <row r="14" spans="1:6" ht="15" customHeight="1" x14ac:dyDescent="0.2">
      <c r="A14" s="22" t="s">
        <v>105</v>
      </c>
      <c r="B14" s="32">
        <v>0.02</v>
      </c>
      <c r="D14" s="22" t="s">
        <v>106</v>
      </c>
      <c r="E14" s="32">
        <v>0.27</v>
      </c>
    </row>
    <row r="15" spans="1:6" ht="15" customHeight="1" x14ac:dyDescent="0.2">
      <c r="A15" s="22" t="s">
        <v>107</v>
      </c>
      <c r="B15" s="36">
        <v>31.1035</v>
      </c>
      <c r="D15" s="22" t="s">
        <v>108</v>
      </c>
      <c r="E15" s="32">
        <v>0.2</v>
      </c>
    </row>
    <row r="16" spans="1:6" ht="15" customHeight="1" x14ac:dyDescent="0.2">
      <c r="A16" s="22" t="s">
        <v>109</v>
      </c>
      <c r="B16" s="37">
        <f>B13/B15*B9</f>
        <v>1397.7526644911345</v>
      </c>
      <c r="D16" s="22" t="s">
        <v>110</v>
      </c>
      <c r="E16" s="32">
        <v>0.8</v>
      </c>
    </row>
    <row r="17" spans="1:6" ht="15" customHeight="1" x14ac:dyDescent="0.2">
      <c r="D17" s="22" t="s">
        <v>111</v>
      </c>
      <c r="E17" s="32">
        <v>0.01</v>
      </c>
    </row>
    <row r="18" spans="1:6" ht="15" customHeight="1" x14ac:dyDescent="0.2">
      <c r="A18" s="27" t="s">
        <v>112</v>
      </c>
      <c r="B18" s="20"/>
      <c r="C18" s="20"/>
      <c r="D18" s="18" t="s">
        <v>113</v>
      </c>
      <c r="E18" s="32">
        <v>0.45</v>
      </c>
      <c r="F18" s="20"/>
    </row>
    <row r="19" spans="1:6" ht="15" customHeight="1" x14ac:dyDescent="0.2">
      <c r="A19" s="22" t="s">
        <v>114</v>
      </c>
      <c r="B19" s="30">
        <v>10</v>
      </c>
    </row>
    <row r="20" spans="1:6" ht="15" customHeight="1" x14ac:dyDescent="0.2">
      <c r="A20" s="22" t="s">
        <v>115</v>
      </c>
      <c r="B20" s="30">
        <v>250</v>
      </c>
      <c r="D20" s="27" t="s">
        <v>116</v>
      </c>
      <c r="E20" s="9" t="s">
        <v>117</v>
      </c>
      <c r="F20" s="9" t="s">
        <v>88</v>
      </c>
    </row>
    <row r="21" spans="1:6" ht="15" customHeight="1" x14ac:dyDescent="0.2">
      <c r="A21" s="22" t="s">
        <v>118</v>
      </c>
      <c r="B21" s="30">
        <v>340</v>
      </c>
      <c r="D21" s="22" t="s">
        <v>119</v>
      </c>
      <c r="E21" s="32">
        <v>0.6</v>
      </c>
      <c r="F21" s="35">
        <f>E21*E31</f>
        <v>813000000</v>
      </c>
    </row>
    <row r="22" spans="1:6" ht="15" customHeight="1" x14ac:dyDescent="0.2">
      <c r="A22" s="22" t="s">
        <v>120</v>
      </c>
      <c r="B22" s="30">
        <v>70</v>
      </c>
      <c r="D22" s="22" t="s">
        <v>121</v>
      </c>
      <c r="E22" s="32">
        <v>0.25</v>
      </c>
      <c r="F22" s="35">
        <f>E22*E31</f>
        <v>338750000</v>
      </c>
    </row>
    <row r="23" spans="1:6" ht="15" customHeight="1" x14ac:dyDescent="0.2">
      <c r="D23" s="22" t="s">
        <v>122</v>
      </c>
      <c r="E23" s="32">
        <v>0.15</v>
      </c>
      <c r="F23" s="35">
        <f>E23*E31</f>
        <v>203250000</v>
      </c>
    </row>
    <row r="24" spans="1:6" ht="15" customHeight="1" x14ac:dyDescent="0.2">
      <c r="A24" s="27" t="s">
        <v>123</v>
      </c>
      <c r="B24" s="20"/>
      <c r="C24" s="20"/>
      <c r="D24" s="18" t="s">
        <v>124</v>
      </c>
      <c r="E24" s="38">
        <v>1</v>
      </c>
      <c r="F24" s="39">
        <f>SUM(F21:F23)</f>
        <v>1355000000</v>
      </c>
    </row>
    <row r="25" spans="1:6" ht="15" customHeight="1" x14ac:dyDescent="0.2">
      <c r="A25" s="22" t="s">
        <v>125</v>
      </c>
      <c r="B25" s="35">
        <v>5500</v>
      </c>
    </row>
    <row r="26" spans="1:6" ht="15" customHeight="1" x14ac:dyDescent="0.2">
      <c r="A26" s="22" t="s">
        <v>126</v>
      </c>
      <c r="B26" s="35">
        <v>8000</v>
      </c>
      <c r="D26" s="27" t="s">
        <v>127</v>
      </c>
      <c r="E26" s="20"/>
      <c r="F26" s="20"/>
    </row>
    <row r="27" spans="1:6" ht="15" customHeight="1" x14ac:dyDescent="0.2">
      <c r="A27" s="22" t="s">
        <v>128</v>
      </c>
      <c r="B27" s="35">
        <v>10000</v>
      </c>
      <c r="D27" s="22" t="s">
        <v>129</v>
      </c>
      <c r="E27" s="40">
        <f>B53</f>
        <v>865000000</v>
      </c>
    </row>
    <row r="28" spans="1:6" ht="15" customHeight="1" x14ac:dyDescent="0.2">
      <c r="A28" s="22" t="s">
        <v>130</v>
      </c>
      <c r="B28" s="33">
        <v>2</v>
      </c>
      <c r="D28" s="22" t="s">
        <v>21</v>
      </c>
      <c r="E28" s="40">
        <f>B46</f>
        <v>55000000</v>
      </c>
    </row>
    <row r="29" spans="1:6" ht="15" customHeight="1" x14ac:dyDescent="0.2">
      <c r="A29" s="22" t="s">
        <v>131</v>
      </c>
      <c r="B29" s="32">
        <v>0.95</v>
      </c>
      <c r="D29" s="22" t="s">
        <v>132</v>
      </c>
      <c r="E29" s="40">
        <f>B52</f>
        <v>35000000</v>
      </c>
    </row>
    <row r="30" spans="1:6" ht="15" customHeight="1" x14ac:dyDescent="0.2">
      <c r="A30" s="22" t="s">
        <v>133</v>
      </c>
      <c r="B30" s="33">
        <v>5</v>
      </c>
      <c r="D30" s="22" t="s">
        <v>134</v>
      </c>
      <c r="E30" s="41">
        <v>400000000</v>
      </c>
    </row>
    <row r="31" spans="1:6" ht="15" customHeight="1" x14ac:dyDescent="0.2">
      <c r="D31" s="22" t="s">
        <v>135</v>
      </c>
      <c r="E31" s="42">
        <f>SUM(E27:E30)</f>
        <v>1355000000</v>
      </c>
    </row>
    <row r="32" spans="1:6" ht="15" customHeight="1" x14ac:dyDescent="0.2">
      <c r="A32" s="27" t="s">
        <v>136</v>
      </c>
      <c r="B32" s="20"/>
      <c r="C32" s="20"/>
      <c r="D32" s="20"/>
      <c r="E32" s="20"/>
      <c r="F32" s="20"/>
    </row>
    <row r="33" spans="1:6" ht="15" customHeight="1" x14ac:dyDescent="0.2">
      <c r="A33" s="22" t="s">
        <v>137</v>
      </c>
      <c r="B33" s="35">
        <v>175</v>
      </c>
      <c r="D33" s="27" t="s">
        <v>138</v>
      </c>
      <c r="E33" s="20"/>
      <c r="F33" s="20"/>
    </row>
    <row r="34" spans="1:6" ht="15" customHeight="1" x14ac:dyDescent="0.2">
      <c r="A34" s="22" t="s">
        <v>139</v>
      </c>
      <c r="B34" s="35">
        <v>148</v>
      </c>
      <c r="D34" s="22" t="s">
        <v>140</v>
      </c>
      <c r="E34" s="32">
        <v>9.5000000000000001E-2</v>
      </c>
    </row>
    <row r="35" spans="1:6" ht="15" customHeight="1" x14ac:dyDescent="0.2">
      <c r="A35" s="22" t="s">
        <v>141</v>
      </c>
      <c r="B35" s="35">
        <v>18000000</v>
      </c>
      <c r="D35" s="22" t="s">
        <v>142</v>
      </c>
      <c r="E35" s="32">
        <v>0.14000000000000001</v>
      </c>
    </row>
    <row r="36" spans="1:6" ht="15" customHeight="1" x14ac:dyDescent="0.2">
      <c r="A36" s="22" t="s">
        <v>143</v>
      </c>
      <c r="B36" s="31" t="s">
        <v>144</v>
      </c>
      <c r="D36" s="22" t="s">
        <v>145</v>
      </c>
      <c r="E36" s="30">
        <v>8</v>
      </c>
    </row>
    <row r="37" spans="1:6" ht="15" customHeight="1" x14ac:dyDescent="0.2">
      <c r="A37" s="22" t="s">
        <v>146</v>
      </c>
      <c r="B37" s="32">
        <v>0.02</v>
      </c>
      <c r="D37" s="22" t="s">
        <v>147</v>
      </c>
      <c r="E37" s="30">
        <v>5</v>
      </c>
    </row>
    <row r="38" spans="1:6" ht="15" customHeight="1" x14ac:dyDescent="0.2">
      <c r="A38" s="22" t="s">
        <v>148</v>
      </c>
      <c r="B38" s="32">
        <v>0.02</v>
      </c>
      <c r="D38" s="22" t="s">
        <v>149</v>
      </c>
      <c r="E38" s="30">
        <v>1</v>
      </c>
    </row>
    <row r="39" spans="1:6" ht="15" customHeight="1" x14ac:dyDescent="0.2">
      <c r="D39" s="22" t="s">
        <v>150</v>
      </c>
      <c r="E39" s="30">
        <v>5</v>
      </c>
    </row>
    <row r="40" spans="1:6" ht="15" customHeight="1" x14ac:dyDescent="0.2">
      <c r="A40" s="27" t="s">
        <v>151</v>
      </c>
      <c r="B40" s="20"/>
      <c r="C40" s="20"/>
      <c r="D40" s="20"/>
      <c r="E40" s="20"/>
      <c r="F40" s="20"/>
    </row>
    <row r="41" spans="1:6" ht="15" customHeight="1" x14ac:dyDescent="0.2">
      <c r="A41" s="4" t="s">
        <v>152</v>
      </c>
      <c r="D41" s="27" t="s">
        <v>153</v>
      </c>
      <c r="E41" s="20"/>
      <c r="F41" s="20"/>
    </row>
    <row r="42" spans="1:6" ht="15" customHeight="1" x14ac:dyDescent="0.2">
      <c r="A42" s="22" t="s">
        <v>154</v>
      </c>
      <c r="B42" s="32">
        <v>5.0000000000000001E-3</v>
      </c>
      <c r="D42" s="22" t="s">
        <v>155</v>
      </c>
      <c r="E42" s="31" t="s">
        <v>156</v>
      </c>
    </row>
    <row r="43" spans="1:6" ht="15" customHeight="1" x14ac:dyDescent="0.2">
      <c r="A43" s="22" t="s">
        <v>157</v>
      </c>
      <c r="B43" s="32">
        <v>0.05</v>
      </c>
      <c r="D43" s="22" t="s">
        <v>158</v>
      </c>
      <c r="E43" s="35">
        <v>5000000</v>
      </c>
    </row>
    <row r="44" spans="1:6" ht="15" customHeight="1" x14ac:dyDescent="0.2">
      <c r="D44" s="22" t="s">
        <v>159</v>
      </c>
      <c r="E44" s="32">
        <v>0.5</v>
      </c>
    </row>
    <row r="45" spans="1:6" ht="15" customHeight="1" x14ac:dyDescent="0.2">
      <c r="A45" s="27" t="s">
        <v>160</v>
      </c>
      <c r="B45" s="20"/>
      <c r="C45" s="20"/>
      <c r="D45" s="20"/>
      <c r="E45" s="20"/>
      <c r="F45" s="20"/>
    </row>
    <row r="46" spans="1:6" ht="15" customHeight="1" x14ac:dyDescent="0.2">
      <c r="A46" s="22" t="s">
        <v>161</v>
      </c>
      <c r="B46" s="35">
        <v>55000000</v>
      </c>
      <c r="D46" s="27" t="s">
        <v>162</v>
      </c>
      <c r="E46" s="20"/>
      <c r="F46" s="20"/>
    </row>
    <row r="47" spans="1:6" ht="15" customHeight="1" x14ac:dyDescent="0.2">
      <c r="A47" s="22" t="s">
        <v>163</v>
      </c>
      <c r="B47" s="30">
        <v>10</v>
      </c>
      <c r="D47" s="22" t="s">
        <v>164</v>
      </c>
      <c r="E47" s="32">
        <f>B101</f>
        <v>0.16946749999999997</v>
      </c>
    </row>
    <row r="49" spans="1:6" ht="15" customHeight="1" x14ac:dyDescent="0.2">
      <c r="A49" s="27" t="s">
        <v>165</v>
      </c>
      <c r="B49" s="20"/>
      <c r="C49" s="20"/>
      <c r="D49" s="20"/>
      <c r="E49" s="20"/>
      <c r="F49" s="20"/>
    </row>
    <row r="50" spans="1:6" ht="15" customHeight="1" x14ac:dyDescent="0.2">
      <c r="A50" s="22" t="s">
        <v>166</v>
      </c>
      <c r="B50" s="35">
        <v>460000000</v>
      </c>
    </row>
    <row r="51" spans="1:6" ht="15" customHeight="1" x14ac:dyDescent="0.2">
      <c r="A51" s="22" t="s">
        <v>167</v>
      </c>
      <c r="B51" s="35">
        <v>370000000</v>
      </c>
    </row>
    <row r="52" spans="1:6" ht="15" customHeight="1" x14ac:dyDescent="0.2">
      <c r="A52" s="22" t="s">
        <v>168</v>
      </c>
      <c r="B52" s="35">
        <v>35000000</v>
      </c>
    </row>
    <row r="53" spans="1:6" ht="15" customHeight="1" x14ac:dyDescent="0.2">
      <c r="A53" s="22" t="s">
        <v>169</v>
      </c>
      <c r="B53" s="42">
        <f>SUM(B50:B52)</f>
        <v>865000000</v>
      </c>
    </row>
    <row r="54" spans="1:6" ht="15" customHeight="1" x14ac:dyDescent="0.2">
      <c r="A54" s="22" t="s">
        <v>170</v>
      </c>
      <c r="B54" s="35">
        <v>9000000</v>
      </c>
    </row>
    <row r="55" spans="1:6" ht="15" customHeight="1" x14ac:dyDescent="0.2">
      <c r="A55" s="22" t="s">
        <v>171</v>
      </c>
      <c r="B55" s="35">
        <v>90000000</v>
      </c>
    </row>
    <row r="56" spans="1:6" ht="15" customHeight="1" x14ac:dyDescent="0.2">
      <c r="A56" s="22" t="s">
        <v>172</v>
      </c>
      <c r="B56" s="35">
        <v>2030</v>
      </c>
    </row>
    <row r="57" spans="1:6" ht="15" customHeight="1" x14ac:dyDescent="0.2">
      <c r="A57" s="22" t="s">
        <v>173</v>
      </c>
      <c r="B57" s="35">
        <v>100</v>
      </c>
    </row>
    <row r="59" spans="1:6" ht="15" customHeight="1" x14ac:dyDescent="0.2">
      <c r="A59" s="27" t="s">
        <v>174</v>
      </c>
      <c r="B59" s="20"/>
      <c r="C59" s="20"/>
      <c r="D59" s="20"/>
      <c r="E59" s="20"/>
      <c r="F59" s="20"/>
    </row>
    <row r="60" spans="1:6" ht="15" customHeight="1" x14ac:dyDescent="0.2">
      <c r="A60" s="22" t="s">
        <v>175</v>
      </c>
      <c r="B60" s="31" t="s">
        <v>176</v>
      </c>
    </row>
    <row r="61" spans="1:6" ht="15" customHeight="1" x14ac:dyDescent="0.2">
      <c r="A61" s="22" t="s">
        <v>177</v>
      </c>
      <c r="B61" s="30">
        <v>10</v>
      </c>
    </row>
    <row r="62" spans="1:6" ht="15" customHeight="1" x14ac:dyDescent="0.2">
      <c r="A62" s="22" t="s">
        <v>178</v>
      </c>
      <c r="B62" s="32">
        <v>0.1</v>
      </c>
    </row>
    <row r="63" spans="1:6" ht="15" customHeight="1" x14ac:dyDescent="0.2">
      <c r="A63" s="4" t="s">
        <v>179</v>
      </c>
    </row>
    <row r="65" spans="1:6" ht="15" customHeight="1" x14ac:dyDescent="0.2">
      <c r="A65" s="27" t="s">
        <v>180</v>
      </c>
      <c r="B65" s="20"/>
      <c r="C65" s="20"/>
      <c r="D65" s="20"/>
      <c r="E65" s="20"/>
      <c r="F65" s="20"/>
    </row>
    <row r="66" spans="1:6" ht="15" customHeight="1" x14ac:dyDescent="0.2">
      <c r="A66" s="22" t="s">
        <v>181</v>
      </c>
      <c r="B66" s="35">
        <v>120000000</v>
      </c>
    </row>
    <row r="67" spans="1:6" ht="15" customHeight="1" x14ac:dyDescent="0.2">
      <c r="A67" s="22" t="s">
        <v>182</v>
      </c>
      <c r="B67" s="35">
        <f>B66/B19</f>
        <v>12000000</v>
      </c>
    </row>
    <row r="68" spans="1:6" ht="15" customHeight="1" x14ac:dyDescent="0.2">
      <c r="A68" s="22" t="s">
        <v>183</v>
      </c>
      <c r="B68" s="32">
        <v>7.0000000000000007E-2</v>
      </c>
    </row>
    <row r="70" spans="1:6" ht="15" customHeight="1" x14ac:dyDescent="0.2">
      <c r="A70" s="27" t="s">
        <v>184</v>
      </c>
      <c r="B70" s="20"/>
      <c r="C70" s="20"/>
      <c r="D70" s="20"/>
      <c r="E70" s="20"/>
      <c r="F70" s="20"/>
    </row>
    <row r="71" spans="1:6" ht="15" customHeight="1" x14ac:dyDescent="0.2">
      <c r="A71" s="22" t="s">
        <v>185</v>
      </c>
      <c r="B71" s="35">
        <v>190</v>
      </c>
    </row>
    <row r="72" spans="1:6" ht="15" customHeight="1" x14ac:dyDescent="0.2">
      <c r="A72" s="22" t="s">
        <v>186</v>
      </c>
      <c r="B72" s="43">
        <v>3.5000000000000003E-2</v>
      </c>
    </row>
    <row r="73" spans="1:6" ht="15" customHeight="1" x14ac:dyDescent="0.2">
      <c r="A73" s="22" t="s">
        <v>187</v>
      </c>
      <c r="B73" s="32">
        <v>0.6</v>
      </c>
    </row>
    <row r="74" spans="1:6" ht="15" customHeight="1" x14ac:dyDescent="0.2">
      <c r="A74" s="22" t="s">
        <v>188</v>
      </c>
      <c r="B74" s="37">
        <f>B71*(1-B73)</f>
        <v>76</v>
      </c>
    </row>
    <row r="76" spans="1:6" ht="15" customHeight="1" x14ac:dyDescent="0.2">
      <c r="A76" s="27" t="s">
        <v>189</v>
      </c>
      <c r="B76" s="20"/>
      <c r="C76" s="20"/>
      <c r="D76" s="20"/>
      <c r="E76" s="20"/>
      <c r="F76" s="20"/>
    </row>
    <row r="77" spans="1:6" ht="15" customHeight="1" x14ac:dyDescent="0.2">
      <c r="A77" s="22" t="s">
        <v>190</v>
      </c>
      <c r="B77" s="32">
        <v>0.01</v>
      </c>
    </row>
    <row r="78" spans="1:6" ht="15" customHeight="1" x14ac:dyDescent="0.2">
      <c r="A78" s="22" t="s">
        <v>191</v>
      </c>
      <c r="B78" s="35">
        <v>5000000</v>
      </c>
    </row>
    <row r="79" spans="1:6" ht="15" customHeight="1" x14ac:dyDescent="0.2">
      <c r="A79" s="22" t="s">
        <v>192</v>
      </c>
      <c r="B79" s="35">
        <v>3000000</v>
      </c>
    </row>
    <row r="81" spans="1:6" ht="15" customHeight="1" x14ac:dyDescent="0.2">
      <c r="A81" s="27" t="s">
        <v>193</v>
      </c>
      <c r="B81" s="20"/>
      <c r="C81" s="20"/>
      <c r="D81" s="20"/>
      <c r="E81" s="20"/>
      <c r="F81" s="20"/>
    </row>
    <row r="82" spans="1:6" ht="15" customHeight="1" x14ac:dyDescent="0.2">
      <c r="A82" s="22" t="s">
        <v>194</v>
      </c>
      <c r="B82" s="32">
        <v>6.5000000000000002E-2</v>
      </c>
    </row>
    <row r="84" spans="1:6" ht="15" customHeight="1" x14ac:dyDescent="0.2">
      <c r="A84" s="27" t="s">
        <v>195</v>
      </c>
      <c r="B84" s="20"/>
      <c r="C84" s="20"/>
      <c r="D84" s="20"/>
      <c r="E84" s="20"/>
      <c r="F84" s="20"/>
    </row>
    <row r="85" spans="1:6" ht="15" customHeight="1" x14ac:dyDescent="0.2">
      <c r="A85" s="22" t="s">
        <v>196</v>
      </c>
      <c r="B85" s="32">
        <v>1</v>
      </c>
    </row>
    <row r="86" spans="1:6" ht="15" customHeight="1" x14ac:dyDescent="0.2">
      <c r="A86" s="4" t="s">
        <v>197</v>
      </c>
    </row>
    <row r="87" spans="1:6" ht="15" customHeight="1" x14ac:dyDescent="0.2">
      <c r="A87" s="4" t="s">
        <v>198</v>
      </c>
    </row>
    <row r="89" spans="1:6" ht="15" customHeight="1" x14ac:dyDescent="0.2">
      <c r="A89" s="27" t="s">
        <v>199</v>
      </c>
      <c r="B89" s="20"/>
      <c r="C89" s="20"/>
      <c r="D89" s="20"/>
      <c r="E89" s="20"/>
      <c r="F89" s="20"/>
    </row>
    <row r="90" spans="1:6" ht="15" customHeight="1" x14ac:dyDescent="0.2">
      <c r="A90" s="22" t="s">
        <v>200</v>
      </c>
      <c r="B90" s="32">
        <v>9.5000000000000001E-2</v>
      </c>
    </row>
    <row r="91" spans="1:6" ht="15" customHeight="1" x14ac:dyDescent="0.2">
      <c r="A91" s="22" t="s">
        <v>201</v>
      </c>
      <c r="B91" s="32">
        <v>6.5000000000000002E-2</v>
      </c>
    </row>
    <row r="92" spans="1:6" ht="15" customHeight="1" x14ac:dyDescent="0.2">
      <c r="A92" s="22" t="s">
        <v>202</v>
      </c>
      <c r="B92" s="32">
        <v>1.2</v>
      </c>
    </row>
    <row r="93" spans="1:6" ht="15" customHeight="1" x14ac:dyDescent="0.2">
      <c r="A93" s="22" t="s">
        <v>203</v>
      </c>
      <c r="B93" s="32">
        <v>2.5000000000000001E-2</v>
      </c>
    </row>
    <row r="94" spans="1:6" ht="15" customHeight="1" x14ac:dyDescent="0.2">
      <c r="A94" s="22" t="s">
        <v>204</v>
      </c>
      <c r="B94" s="32">
        <v>0.03</v>
      </c>
    </row>
    <row r="95" spans="1:6" ht="15" customHeight="1" x14ac:dyDescent="0.2">
      <c r="A95" s="22" t="s">
        <v>205</v>
      </c>
      <c r="B95" s="44">
        <f>B90+B92*B91+B93+B94</f>
        <v>0.22799999999999998</v>
      </c>
    </row>
    <row r="96" spans="1:6" ht="15" customHeight="1" x14ac:dyDescent="0.2">
      <c r="A96" s="22" t="s">
        <v>206</v>
      </c>
      <c r="B96" s="45">
        <f>E34</f>
        <v>9.5000000000000001E-2</v>
      </c>
    </row>
    <row r="97" spans="1:6" ht="15" customHeight="1" x14ac:dyDescent="0.2">
      <c r="A97" s="22" t="s">
        <v>207</v>
      </c>
      <c r="B97" s="45">
        <f>E35</f>
        <v>0.14000000000000001</v>
      </c>
    </row>
    <row r="98" spans="1:6" ht="15" customHeight="1" x14ac:dyDescent="0.2">
      <c r="A98" s="22" t="s">
        <v>208</v>
      </c>
      <c r="B98" s="44">
        <f>1-E14</f>
        <v>0.73</v>
      </c>
    </row>
    <row r="99" spans="1:6" ht="15" customHeight="1" x14ac:dyDescent="0.2">
      <c r="A99" s="22" t="s">
        <v>209</v>
      </c>
      <c r="B99" s="45">
        <f>E21</f>
        <v>0.6</v>
      </c>
    </row>
    <row r="100" spans="1:6" ht="15" customHeight="1" x14ac:dyDescent="0.2">
      <c r="A100" s="22" t="s">
        <v>210</v>
      </c>
      <c r="B100" s="44">
        <f>1-B99</f>
        <v>0.4</v>
      </c>
    </row>
    <row r="101" spans="1:6" ht="15" customHeight="1" x14ac:dyDescent="0.2">
      <c r="A101" s="22" t="s">
        <v>211</v>
      </c>
      <c r="B101" s="46">
        <f>B95*B99+(B96*E22+B97*E23)*B98</f>
        <v>0.16946749999999997</v>
      </c>
    </row>
    <row r="103" spans="1:6" ht="15" customHeight="1" x14ac:dyDescent="0.2">
      <c r="A103" s="27" t="s">
        <v>212</v>
      </c>
      <c r="B103" s="20"/>
      <c r="C103" s="20"/>
      <c r="D103" s="20"/>
      <c r="E103" s="20"/>
      <c r="F103" s="20"/>
    </row>
    <row r="104" spans="1:6" ht="15" customHeight="1" x14ac:dyDescent="0.2">
      <c r="A104" s="22" t="s">
        <v>213</v>
      </c>
      <c r="B104" s="47">
        <v>1.3</v>
      </c>
    </row>
    <row r="105" spans="1:6" ht="15" customHeight="1" x14ac:dyDescent="0.2">
      <c r="A105" s="22" t="s">
        <v>214</v>
      </c>
      <c r="B105" s="47">
        <v>3</v>
      </c>
    </row>
    <row r="106" spans="1:6" ht="15" customHeight="1" x14ac:dyDescent="0.2">
      <c r="A106" s="22" t="s">
        <v>215</v>
      </c>
      <c r="B106" s="47">
        <v>1.1000000000000001</v>
      </c>
    </row>
    <row r="110" spans="1:6" ht="18" x14ac:dyDescent="0.2">
      <c r="A110" s="48" t="s">
        <v>216</v>
      </c>
    </row>
    <row r="112" spans="1:6" ht="16" x14ac:dyDescent="0.2">
      <c r="A112" s="49" t="s">
        <v>217</v>
      </c>
    </row>
    <row r="113" spans="1:7" x14ac:dyDescent="0.2">
      <c r="A113" s="50" t="s">
        <v>218</v>
      </c>
    </row>
    <row r="114" spans="1:7" x14ac:dyDescent="0.2">
      <c r="A114" s="9" t="s">
        <v>219</v>
      </c>
      <c r="B114" s="9" t="s">
        <v>220</v>
      </c>
      <c r="C114" s="9" t="s">
        <v>221</v>
      </c>
      <c r="D114" s="9" t="s">
        <v>222</v>
      </c>
      <c r="E114" s="9" t="s">
        <v>223</v>
      </c>
      <c r="F114" s="9" t="s">
        <v>224</v>
      </c>
    </row>
    <row r="115" spans="1:7" x14ac:dyDescent="0.2">
      <c r="A115" s="15" t="s">
        <v>225</v>
      </c>
      <c r="B115" s="51">
        <v>30</v>
      </c>
      <c r="C115" s="52">
        <v>0.02</v>
      </c>
      <c r="D115" s="53">
        <v>1.5</v>
      </c>
      <c r="E115" s="52">
        <v>0.8</v>
      </c>
      <c r="F115" s="50" t="s">
        <v>226</v>
      </c>
    </row>
    <row r="116" spans="1:7" x14ac:dyDescent="0.2">
      <c r="A116" s="15" t="s">
        <v>227</v>
      </c>
      <c r="B116" s="51">
        <v>980</v>
      </c>
      <c r="C116" s="52">
        <v>0.02</v>
      </c>
      <c r="D116" s="53">
        <v>0</v>
      </c>
      <c r="E116" s="52">
        <v>0</v>
      </c>
      <c r="F116" s="50" t="s">
        <v>228</v>
      </c>
    </row>
    <row r="117" spans="1:7" x14ac:dyDescent="0.2">
      <c r="A117" s="15" t="s">
        <v>229</v>
      </c>
      <c r="B117" s="51">
        <v>1050</v>
      </c>
      <c r="C117" s="52">
        <v>0.02</v>
      </c>
      <c r="D117" s="53">
        <v>0</v>
      </c>
      <c r="E117" s="52">
        <v>0</v>
      </c>
      <c r="F117" s="50" t="s">
        <v>230</v>
      </c>
    </row>
    <row r="118" spans="1:7" x14ac:dyDescent="0.2">
      <c r="A118" s="15" t="s">
        <v>231</v>
      </c>
      <c r="B118" s="51">
        <v>4800</v>
      </c>
      <c r="C118" s="52">
        <v>0.02</v>
      </c>
      <c r="D118" s="53">
        <v>0</v>
      </c>
      <c r="E118" s="52">
        <v>0</v>
      </c>
      <c r="F118" s="50" t="s">
        <v>232</v>
      </c>
    </row>
    <row r="120" spans="1:7" ht="16" x14ac:dyDescent="0.2">
      <c r="A120" s="49" t="s">
        <v>233</v>
      </c>
    </row>
    <row r="121" spans="1:7" x14ac:dyDescent="0.2">
      <c r="A121" s="50" t="s">
        <v>234</v>
      </c>
    </row>
    <row r="122" spans="1:7" x14ac:dyDescent="0.2">
      <c r="A122" s="9" t="s">
        <v>219</v>
      </c>
      <c r="B122" s="9" t="s">
        <v>235</v>
      </c>
      <c r="C122" s="9" t="s">
        <v>221</v>
      </c>
      <c r="D122" s="9" t="s">
        <v>236</v>
      </c>
      <c r="E122" s="9" t="s">
        <v>223</v>
      </c>
      <c r="F122" s="9" t="s">
        <v>237</v>
      </c>
      <c r="G122" s="9" t="s">
        <v>238</v>
      </c>
    </row>
    <row r="123" spans="1:7" x14ac:dyDescent="0.2">
      <c r="A123" s="15" t="s">
        <v>239</v>
      </c>
      <c r="B123" s="51">
        <v>9200</v>
      </c>
      <c r="C123" s="52">
        <v>0.02</v>
      </c>
      <c r="D123" s="54">
        <v>1.5E-3</v>
      </c>
      <c r="E123" s="52">
        <v>0.85</v>
      </c>
      <c r="F123" s="4" t="s">
        <v>240</v>
      </c>
      <c r="G123" s="4" t="s">
        <v>241</v>
      </c>
    </row>
    <row r="124" spans="1:7" x14ac:dyDescent="0.2">
      <c r="A124" s="15" t="s">
        <v>242</v>
      </c>
      <c r="B124" s="51">
        <v>16500</v>
      </c>
      <c r="C124" s="52">
        <v>0.02</v>
      </c>
      <c r="D124" s="54">
        <v>0</v>
      </c>
      <c r="E124" s="52">
        <v>0</v>
      </c>
      <c r="F124" s="4" t="s">
        <v>240</v>
      </c>
      <c r="G124" s="4" t="s">
        <v>243</v>
      </c>
    </row>
    <row r="125" spans="1:7" x14ac:dyDescent="0.2">
      <c r="A125" s="15" t="s">
        <v>244</v>
      </c>
      <c r="B125" s="51">
        <v>2700</v>
      </c>
      <c r="C125" s="52">
        <v>0.02</v>
      </c>
      <c r="D125" s="54">
        <v>0</v>
      </c>
      <c r="E125" s="52">
        <v>0</v>
      </c>
      <c r="F125" s="4" t="s">
        <v>240</v>
      </c>
      <c r="G125" s="4" t="s">
        <v>243</v>
      </c>
    </row>
    <row r="126" spans="1:7" x14ac:dyDescent="0.2">
      <c r="A126" s="15" t="s">
        <v>245</v>
      </c>
      <c r="B126" s="51">
        <v>250</v>
      </c>
      <c r="C126" s="52">
        <v>0.01</v>
      </c>
      <c r="D126" s="54">
        <v>0</v>
      </c>
      <c r="E126" s="52">
        <v>0</v>
      </c>
      <c r="F126" s="4" t="s">
        <v>240</v>
      </c>
      <c r="G126" s="4" t="s">
        <v>243</v>
      </c>
    </row>
    <row r="127" spans="1:7" x14ac:dyDescent="0.2">
      <c r="A127" s="15" t="s">
        <v>246</v>
      </c>
      <c r="B127" s="51">
        <v>350</v>
      </c>
      <c r="C127" s="52">
        <v>0.01</v>
      </c>
      <c r="D127" s="54">
        <v>0</v>
      </c>
      <c r="E127" s="52">
        <v>0</v>
      </c>
      <c r="F127" s="4" t="s">
        <v>240</v>
      </c>
      <c r="G127" s="4" t="s">
        <v>243</v>
      </c>
    </row>
    <row r="128" spans="1:7" x14ac:dyDescent="0.2">
      <c r="A128" s="15" t="s">
        <v>247</v>
      </c>
      <c r="B128" s="51">
        <v>105</v>
      </c>
      <c r="C128" s="52">
        <v>0.01</v>
      </c>
      <c r="D128" s="54">
        <v>0</v>
      </c>
      <c r="E128" s="52">
        <v>0</v>
      </c>
      <c r="F128" s="4" t="s">
        <v>240</v>
      </c>
      <c r="G128" s="4" t="s">
        <v>243</v>
      </c>
    </row>
    <row r="129" spans="1:7" x14ac:dyDescent="0.2">
      <c r="A129" s="15" t="s">
        <v>248</v>
      </c>
      <c r="B129" s="51">
        <v>28000</v>
      </c>
      <c r="C129" s="52">
        <v>0.02</v>
      </c>
      <c r="D129" s="54">
        <v>0</v>
      </c>
      <c r="E129" s="52">
        <v>0</v>
      </c>
      <c r="F129" s="4" t="s">
        <v>240</v>
      </c>
      <c r="G129" s="4" t="s">
        <v>243</v>
      </c>
    </row>
    <row r="130" spans="1:7" x14ac:dyDescent="0.2">
      <c r="A130" s="15" t="s">
        <v>249</v>
      </c>
      <c r="B130" s="51">
        <v>85</v>
      </c>
      <c r="C130" s="52">
        <v>0.03</v>
      </c>
      <c r="D130" s="53">
        <v>0</v>
      </c>
      <c r="E130" s="52">
        <v>0</v>
      </c>
      <c r="F130" s="4" t="s">
        <v>250</v>
      </c>
      <c r="G130" s="4" t="s">
        <v>251</v>
      </c>
    </row>
    <row r="132" spans="1:7" x14ac:dyDescent="0.2">
      <c r="A132" s="55" t="s">
        <v>252</v>
      </c>
    </row>
    <row r="133" spans="1:7" x14ac:dyDescent="0.2">
      <c r="A133" t="s">
        <v>253</v>
      </c>
      <c r="B133" s="56">
        <v>15</v>
      </c>
    </row>
    <row r="134" spans="1:7" x14ac:dyDescent="0.2">
      <c r="A134" t="s">
        <v>254</v>
      </c>
      <c r="B134" s="52">
        <v>0.05</v>
      </c>
    </row>
    <row r="135" spans="1:7" x14ac:dyDescent="0.2">
      <c r="A135" t="s">
        <v>255</v>
      </c>
      <c r="B135" s="52">
        <v>5.0000000000000001E-3</v>
      </c>
    </row>
  </sheetData>
  <dataValidations count="2">
    <dataValidation type="decimal" allowBlank="1" errorTitle="Invalid percentage" error="Must be between 0% and 100%" sqref="B8 B14 E14:E15 E17 B29 B37:B38 B62 B73 B77 B82 B85" xr:uid="{00000000-0002-0000-0100-000000000000}">
      <formula1>0</formula1>
      <formula2>1</formula2>
    </dataValidation>
    <dataValidation type="decimal" operator="greaterThan" allowBlank="1" error="Must be positive" sqref="B13 B19 B25:B28 B33:B35 B46 B50:B52 B54:B55 B66" xr:uid="{00000000-0002-0000-0100-000001000000}">
      <formula1>0</formula1>
      <formula2>0</formula2>
    </dataValidation>
  </dataValidations>
  <pageMargins left="0.75" right="0.75" top="1" bottom="1" header="0.511811023622047" footer="0.511811023622047"/>
  <pageSetup paperSize="8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X65"/>
  <sheetViews>
    <sheetView zoomScaleNormal="100" workbookViewId="0">
      <pane xSplit="2" ySplit="3" topLeftCell="C4" activePane="bottomRight" state="frozen"/>
      <selection pane="topRight"/>
      <selection pane="bottomLeft"/>
      <selection pane="bottomRight" activeCell="E23" sqref="E23"/>
    </sheetView>
  </sheetViews>
  <sheetFormatPr baseColWidth="10" defaultColWidth="8.6640625" defaultRowHeight="15" x14ac:dyDescent="0.2"/>
  <cols>
    <col min="1" max="1" width="35" customWidth="1"/>
    <col min="2" max="2" width="13.83203125" customWidth="1"/>
    <col min="3" max="24" width="16" customWidth="1"/>
  </cols>
  <sheetData>
    <row r="1" spans="1:24" ht="19.5" customHeight="1" x14ac:dyDescent="0.2">
      <c r="A1" s="57" t="s">
        <v>0</v>
      </c>
      <c r="B1" s="17"/>
      <c r="C1" s="17"/>
      <c r="D1" s="17"/>
      <c r="E1" s="17"/>
      <c r="F1" s="17"/>
      <c r="G1" s="17"/>
      <c r="H1" s="17"/>
      <c r="I1" s="17"/>
    </row>
    <row r="2" spans="1:24" ht="17.25" customHeight="1" x14ac:dyDescent="0.2">
      <c r="A2" s="28" t="s">
        <v>256</v>
      </c>
      <c r="B2" s="17"/>
      <c r="C2" s="17"/>
      <c r="D2" s="17"/>
      <c r="E2" s="17"/>
      <c r="F2" s="17"/>
      <c r="G2" s="17"/>
      <c r="H2" s="17"/>
      <c r="I2" s="17"/>
    </row>
    <row r="3" spans="1:24" ht="15" customHeight="1" x14ac:dyDescent="0.2">
      <c r="A3" s="4" t="s">
        <v>84</v>
      </c>
      <c r="B3" s="17"/>
      <c r="C3" s="17"/>
      <c r="D3" s="17"/>
      <c r="E3" s="17"/>
      <c r="F3" s="17"/>
      <c r="G3" s="17"/>
      <c r="H3" s="17"/>
      <c r="I3" s="17"/>
    </row>
    <row r="4" spans="1:24" ht="15" customHeight="1" x14ac:dyDescent="0.2">
      <c r="A4" s="17"/>
      <c r="B4" s="17"/>
      <c r="C4" s="17"/>
      <c r="D4" s="17"/>
      <c r="E4" s="17"/>
      <c r="F4" s="17"/>
      <c r="G4" s="17"/>
      <c r="H4" s="17"/>
      <c r="I4" s="17"/>
    </row>
    <row r="5" spans="1:24" ht="15" customHeight="1" x14ac:dyDescent="0.2">
      <c r="A5" s="27" t="s">
        <v>257</v>
      </c>
      <c r="B5" s="58"/>
      <c r="C5" s="58"/>
      <c r="D5" s="27" t="s">
        <v>257</v>
      </c>
      <c r="E5" s="58"/>
      <c r="F5" s="17"/>
      <c r="G5" s="17"/>
      <c r="H5" s="17"/>
      <c r="I5" s="17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15" customHeight="1" x14ac:dyDescent="0.2">
      <c r="A6" s="22" t="s">
        <v>258</v>
      </c>
      <c r="B6" s="59">
        <f>'FCF Analysis'!B21</f>
        <v>1.5877773429214854</v>
      </c>
      <c r="C6" s="17"/>
      <c r="D6" s="22" t="s">
        <v>259</v>
      </c>
      <c r="E6" s="37">
        <f>Assumptions!B13</f>
        <v>2350</v>
      </c>
      <c r="F6" s="17"/>
      <c r="G6" s="17"/>
      <c r="H6" s="17"/>
      <c r="I6" s="17"/>
    </row>
    <row r="7" spans="1:24" ht="15" customHeight="1" x14ac:dyDescent="0.2">
      <c r="A7" s="22" t="s">
        <v>260</v>
      </c>
      <c r="B7" s="59">
        <f>'FCF Analysis'!B22</f>
        <v>2.9365619414640913</v>
      </c>
      <c r="C7" s="17"/>
      <c r="D7" s="22" t="s">
        <v>261</v>
      </c>
      <c r="E7" s="37">
        <f>Assumptions!B16</f>
        <v>1397.7526644911345</v>
      </c>
      <c r="F7" s="17"/>
      <c r="G7" s="17"/>
      <c r="H7" s="17"/>
      <c r="I7" s="17"/>
    </row>
    <row r="8" spans="1:24" ht="15" customHeight="1" x14ac:dyDescent="0.2">
      <c r="A8" s="22" t="s">
        <v>262</v>
      </c>
      <c r="B8" s="42">
        <f>'FCF Analysis'!B23</f>
        <v>13048073523.803513</v>
      </c>
      <c r="C8" s="17"/>
      <c r="D8" s="22" t="s">
        <v>263</v>
      </c>
      <c r="E8" s="60">
        <f>Assumptions!B28</f>
        <v>2</v>
      </c>
      <c r="F8" s="17"/>
      <c r="G8" s="17"/>
      <c r="H8" s="17"/>
      <c r="I8" s="17"/>
    </row>
    <row r="9" spans="1:24" ht="15" customHeight="1" x14ac:dyDescent="0.2">
      <c r="A9" s="22" t="s">
        <v>211</v>
      </c>
      <c r="B9" s="44">
        <f>Assumptions!B101</f>
        <v>0.16946749999999997</v>
      </c>
      <c r="C9" s="17"/>
      <c r="D9" s="22" t="s">
        <v>264</v>
      </c>
      <c r="E9" s="44">
        <f>Assumptions!B29</f>
        <v>0.95</v>
      </c>
      <c r="F9" s="17"/>
      <c r="G9" s="17"/>
      <c r="H9" s="17"/>
      <c r="I9" s="17"/>
    </row>
    <row r="10" spans="1:24" ht="15" customHeight="1" x14ac:dyDescent="0.2">
      <c r="A10" s="22" t="s">
        <v>265</v>
      </c>
      <c r="B10" s="61">
        <f>'FCF Analysis'!B24</f>
        <v>2</v>
      </c>
      <c r="C10" s="17"/>
      <c r="D10" s="22" t="s">
        <v>266</v>
      </c>
      <c r="E10" s="37">
        <f>Assumptions!B27</f>
        <v>10000</v>
      </c>
      <c r="F10" s="17"/>
      <c r="G10" s="17"/>
      <c r="H10" s="17"/>
      <c r="I10" s="17"/>
    </row>
    <row r="11" spans="1:24" ht="15" customHeight="1" x14ac:dyDescent="0.2">
      <c r="A11" s="22" t="s">
        <v>114</v>
      </c>
      <c r="B11" s="62">
        <f>Assumptions!B19</f>
        <v>10</v>
      </c>
      <c r="C11" s="17"/>
      <c r="D11" s="22" t="s">
        <v>267</v>
      </c>
      <c r="E11" s="37">
        <f>Operations!X12</f>
        <v>52430.5</v>
      </c>
      <c r="F11" s="17"/>
      <c r="G11" s="17"/>
      <c r="H11" s="17"/>
      <c r="I11" s="17"/>
    </row>
    <row r="12" spans="1:24" ht="15" customHeight="1" x14ac:dyDescent="0.2">
      <c r="A12" s="17"/>
      <c r="B12" s="62"/>
      <c r="C12" s="17"/>
      <c r="D12" s="17"/>
      <c r="E12" s="17"/>
      <c r="F12" s="17"/>
      <c r="G12" s="17"/>
      <c r="H12" s="17"/>
      <c r="I12" s="17"/>
    </row>
    <row r="13" spans="1:24" ht="15" customHeight="1" x14ac:dyDescent="0.2">
      <c r="A13" s="27" t="s">
        <v>268</v>
      </c>
      <c r="B13" s="58"/>
      <c r="C13" s="58"/>
      <c r="D13" s="27" t="s">
        <v>268</v>
      </c>
      <c r="E13" s="58"/>
      <c r="F13" s="17"/>
      <c r="G13" s="17"/>
      <c r="H13" s="17"/>
      <c r="I13" s="17"/>
    </row>
    <row r="14" spans="1:24" ht="15" customHeight="1" x14ac:dyDescent="0.2">
      <c r="A14" s="22" t="s">
        <v>269</v>
      </c>
      <c r="B14" s="37">
        <f>Assumptions!E31</f>
        <v>1355000000</v>
      </c>
      <c r="C14" s="17"/>
      <c r="D14" s="22" t="s">
        <v>270</v>
      </c>
      <c r="E14" s="37">
        <f>'Income Statement'!X5</f>
        <v>96864018513.972412</v>
      </c>
      <c r="F14" s="17"/>
      <c r="G14" s="17"/>
      <c r="H14" s="17"/>
      <c r="I14" s="17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5" customHeight="1" x14ac:dyDescent="0.2">
      <c r="A15" s="22" t="s">
        <v>271</v>
      </c>
      <c r="B15" s="37">
        <f>Assumptions!F21</f>
        <v>813000000</v>
      </c>
      <c r="C15" s="17"/>
      <c r="D15" s="22" t="s">
        <v>272</v>
      </c>
      <c r="E15" s="37">
        <f>'Income Statement'!X17</f>
        <v>49615081263.018944</v>
      </c>
      <c r="F15" s="17"/>
      <c r="G15" s="17"/>
      <c r="H15" s="17"/>
      <c r="I15" s="17"/>
    </row>
    <row r="16" spans="1:24" ht="15" customHeight="1" x14ac:dyDescent="0.2">
      <c r="A16" s="22" t="s">
        <v>273</v>
      </c>
      <c r="B16" s="37">
        <f>Assumptions!F22</f>
        <v>338750000</v>
      </c>
      <c r="C16" s="17"/>
      <c r="D16" s="22" t="s">
        <v>274</v>
      </c>
      <c r="E16" s="37">
        <f>'Income Statement'!X30</f>
        <v>33854883899.272137</v>
      </c>
      <c r="F16" s="17"/>
      <c r="G16" s="17"/>
      <c r="H16" s="17"/>
      <c r="I16" s="17"/>
    </row>
    <row r="17" spans="1:24" ht="15" customHeight="1" x14ac:dyDescent="0.2">
      <c r="A17" s="22" t="s">
        <v>275</v>
      </c>
      <c r="B17" s="37">
        <f>Assumptions!F23</f>
        <v>203250000</v>
      </c>
      <c r="C17" s="17"/>
      <c r="D17" s="22" t="s">
        <v>276</v>
      </c>
      <c r="E17" s="37">
        <f>-'Fixed Assets'!X8-Exploration!X5</f>
        <v>-1082000000</v>
      </c>
      <c r="F17" s="17"/>
      <c r="G17" s="17"/>
      <c r="H17" s="17"/>
      <c r="I17" s="17"/>
    </row>
    <row r="18" spans="1:24" ht="15" customHeight="1" x14ac:dyDescent="0.2">
      <c r="A18" s="22" t="s">
        <v>277</v>
      </c>
      <c r="B18" s="17" t="str">
        <f>TEXT(Assumptions!E34,"0.0%")&amp;" / "&amp;TEXT(Assumptions!E35,"0.0%")</f>
        <v>9.5% / 14.0%</v>
      </c>
      <c r="C18" s="17"/>
      <c r="D18" s="22" t="s">
        <v>278</v>
      </c>
      <c r="E18" s="63">
        <f>'Cash Flow'!X27</f>
        <v>-27935068877.965473</v>
      </c>
      <c r="F18" s="17"/>
      <c r="G18" s="17"/>
      <c r="H18" s="17"/>
      <c r="I18" s="17"/>
    </row>
    <row r="19" spans="1:24" ht="15" customHeight="1" x14ac:dyDescent="0.2">
      <c r="A19" s="17" t="s">
        <v>279</v>
      </c>
      <c r="B19" s="17" t="s">
        <v>280</v>
      </c>
      <c r="C19" s="17"/>
      <c r="D19" s="17"/>
      <c r="E19" s="17"/>
      <c r="F19" s="17"/>
      <c r="G19" s="17"/>
      <c r="H19" s="17"/>
      <c r="I19" s="17"/>
    </row>
    <row r="20" spans="1:24" ht="15" customHeight="1" x14ac:dyDescent="0.2">
      <c r="A20" s="27" t="s">
        <v>281</v>
      </c>
      <c r="B20" s="58"/>
      <c r="C20" s="58"/>
      <c r="D20" s="27" t="s">
        <v>281</v>
      </c>
      <c r="E20" s="58"/>
      <c r="F20" s="17"/>
      <c r="G20" s="17"/>
      <c r="H20" s="17"/>
      <c r="I20" s="17"/>
    </row>
    <row r="21" spans="1:24" ht="15" customHeight="1" x14ac:dyDescent="0.2">
      <c r="A21" s="22" t="s">
        <v>65</v>
      </c>
      <c r="B21" s="63">
        <f>'Income Statement'!X27</f>
        <v>-14762085689.5196</v>
      </c>
      <c r="C21" s="17"/>
      <c r="D21" s="22" t="s">
        <v>24</v>
      </c>
      <c r="E21" s="22" t="str">
        <f>IF(SUM('Balance Sheet'!C27:W27)=0,"✓ PASS","✗ FAIL")</f>
        <v>✓ PASS</v>
      </c>
      <c r="F21" s="17"/>
      <c r="G21" s="17"/>
      <c r="H21" s="17"/>
      <c r="I21" s="17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" customHeight="1" x14ac:dyDescent="0.2">
      <c r="A22" s="22" t="s">
        <v>282</v>
      </c>
      <c r="B22" s="63">
        <f>'Income Statement'!X11</f>
        <v>-4832067486.7383909</v>
      </c>
      <c r="C22" s="17"/>
      <c r="D22" s="22" t="s">
        <v>30</v>
      </c>
      <c r="E22" s="42" t="str">
        <f>IF(SUM('Cash Flow'!C35:W35)=0,"✓ PASS","✗ FAIL")</f>
        <v>✓ PASS</v>
      </c>
      <c r="F22" s="17"/>
      <c r="G22" s="17"/>
      <c r="H22" s="17"/>
      <c r="I22" s="17"/>
    </row>
    <row r="23" spans="1:24" ht="15" customHeight="1" x14ac:dyDescent="0.2">
      <c r="A23" s="22" t="s">
        <v>283</v>
      </c>
      <c r="B23" s="63">
        <f>'Income Statement'!X28</f>
        <v>-212620217.62929073</v>
      </c>
      <c r="C23" s="17"/>
      <c r="D23" s="22" t="s">
        <v>284</v>
      </c>
      <c r="E23" s="64" t="str">
        <f>IF('Debt Schedule'!W25=0,"✓ PASS","✗ FAIL")</f>
        <v>✗ FAIL</v>
      </c>
      <c r="F23" s="17"/>
      <c r="G23" s="17"/>
      <c r="H23" s="17"/>
      <c r="I23" s="17"/>
    </row>
    <row r="24" spans="1:24" ht="15" customHeight="1" x14ac:dyDescent="0.2">
      <c r="A24" s="22" t="s">
        <v>75</v>
      </c>
      <c r="B24" s="63">
        <f>'Income Statement'!X13</f>
        <v>-73402700.000000015</v>
      </c>
      <c r="C24" s="17"/>
      <c r="D24" s="17" t="s">
        <v>264</v>
      </c>
      <c r="E24" s="44">
        <f>Assumptions!B29</f>
        <v>0.95</v>
      </c>
      <c r="F24" s="17"/>
      <c r="G24" s="17"/>
      <c r="H24" s="17"/>
      <c r="I24" s="17"/>
    </row>
    <row r="25" spans="1:24" ht="15" customHeight="1" x14ac:dyDescent="0.2">
      <c r="A25" s="22" t="s">
        <v>71</v>
      </c>
      <c r="B25" s="63">
        <f>'Cash Flow'!X28</f>
        <v>-5587013775.5930967</v>
      </c>
      <c r="C25" s="17"/>
      <c r="D25" s="17" t="s">
        <v>266</v>
      </c>
      <c r="E25" s="37">
        <f>Assumptions!B27</f>
        <v>10000</v>
      </c>
      <c r="F25" s="17"/>
      <c r="G25" s="17"/>
      <c r="H25" s="17"/>
      <c r="I25" s="17"/>
    </row>
    <row r="26" spans="1:24" ht="15" customHeight="1" x14ac:dyDescent="0.2">
      <c r="A26" s="22" t="s">
        <v>285</v>
      </c>
      <c r="B26" s="65">
        <f>ABS(B21)+ABS(B22)+ABS(B23)+ABS(B24)+ABS(B25)</f>
        <v>25467189869.480381</v>
      </c>
      <c r="C26" s="17"/>
      <c r="D26" s="17"/>
      <c r="E26" s="17"/>
      <c r="F26" s="17"/>
      <c r="G26" s="17"/>
      <c r="H26" s="17"/>
      <c r="I26" s="17"/>
    </row>
    <row r="27" spans="1:24" ht="15" customHeight="1" x14ac:dyDescent="0.2">
      <c r="A27" s="17" t="s">
        <v>286</v>
      </c>
      <c r="B27" s="17"/>
      <c r="C27" s="17"/>
      <c r="D27" s="17"/>
      <c r="E27" s="17"/>
      <c r="F27" s="17"/>
      <c r="G27" s="17"/>
      <c r="H27" s="17"/>
      <c r="I27" s="1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5" customHeight="1" x14ac:dyDescent="0.2">
      <c r="A28" s="27" t="s">
        <v>199</v>
      </c>
      <c r="B28" s="66">
        <f>'Income Statement'!X5</f>
        <v>96864018513.972412</v>
      </c>
      <c r="C28" s="17"/>
      <c r="D28" s="17"/>
      <c r="E28" s="17"/>
      <c r="F28" s="17"/>
      <c r="G28" s="17"/>
      <c r="H28" s="17"/>
      <c r="I28" s="17"/>
    </row>
    <row r="29" spans="1:24" ht="15" customHeight="1" x14ac:dyDescent="0.2">
      <c r="A29" s="22" t="s">
        <v>287</v>
      </c>
      <c r="B29" s="44">
        <f>Assumptions!B90</f>
        <v>9.5000000000000001E-2</v>
      </c>
      <c r="C29" s="17"/>
      <c r="D29" s="17"/>
      <c r="E29" s="17"/>
      <c r="F29" s="17"/>
      <c r="G29" s="17"/>
      <c r="H29" s="17"/>
      <c r="I29" s="17"/>
    </row>
    <row r="30" spans="1:24" ht="15" customHeight="1" x14ac:dyDescent="0.2">
      <c r="A30" s="22" t="s">
        <v>288</v>
      </c>
      <c r="B30" s="44">
        <f>Assumptions!B91*Assumptions!B92</f>
        <v>7.8E-2</v>
      </c>
      <c r="C30" s="17"/>
      <c r="D30" s="17"/>
      <c r="E30" s="17"/>
      <c r="F30" s="17"/>
      <c r="G30" s="17"/>
      <c r="H30" s="17"/>
      <c r="I30" s="17"/>
    </row>
    <row r="31" spans="1:24" ht="15" customHeight="1" x14ac:dyDescent="0.2">
      <c r="A31" s="22" t="s">
        <v>289</v>
      </c>
      <c r="B31" s="44">
        <f>Assumptions!B93</f>
        <v>2.5000000000000001E-2</v>
      </c>
      <c r="C31" s="17"/>
      <c r="D31" s="17"/>
      <c r="E31" s="17"/>
      <c r="F31" s="17"/>
      <c r="G31" s="17"/>
      <c r="H31" s="17"/>
      <c r="I31" s="17"/>
    </row>
    <row r="32" spans="1:24" ht="15" customHeight="1" x14ac:dyDescent="0.2">
      <c r="A32" s="22" t="s">
        <v>290</v>
      </c>
      <c r="B32" s="44">
        <f>Assumptions!B94</f>
        <v>0.03</v>
      </c>
      <c r="C32" s="17"/>
      <c r="D32" s="17"/>
      <c r="E32" s="17"/>
      <c r="F32" s="17"/>
      <c r="G32" s="17"/>
      <c r="H32" s="17"/>
      <c r="I32" s="17"/>
    </row>
    <row r="33" spans="1:9" ht="15" customHeight="1" x14ac:dyDescent="0.2">
      <c r="A33" s="22" t="s">
        <v>291</v>
      </c>
      <c r="B33" s="44">
        <f>Assumptions!B95</f>
        <v>0.22799999999999998</v>
      </c>
      <c r="C33" s="17"/>
      <c r="D33" s="17"/>
      <c r="E33" s="17"/>
      <c r="F33" s="17"/>
      <c r="G33" s="17"/>
      <c r="H33" s="17"/>
      <c r="I33" s="17"/>
    </row>
    <row r="34" spans="1:9" ht="15" customHeight="1" x14ac:dyDescent="0.2">
      <c r="A34" s="22" t="s">
        <v>292</v>
      </c>
      <c r="B34" s="59">
        <f>Assumptions!B101</f>
        <v>0.16946749999999997</v>
      </c>
      <c r="C34" s="17"/>
      <c r="D34" s="17"/>
      <c r="E34" s="17"/>
      <c r="F34" s="17"/>
      <c r="G34" s="17"/>
      <c r="H34" s="17"/>
      <c r="I34" s="17"/>
    </row>
    <row r="35" spans="1:9" ht="1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</row>
    <row r="36" spans="1:9" ht="1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</row>
    <row r="37" spans="1:9" ht="1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</row>
    <row r="39" spans="1:9" ht="1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</row>
    <row r="40" spans="1:9" ht="1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1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</row>
    <row r="42" spans="1:9" ht="1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</row>
    <row r="43" spans="1:9" ht="1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</row>
    <row r="44" spans="1:9" ht="1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</row>
    <row r="45" spans="1:9" ht="1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</row>
    <row r="46" spans="1:9" ht="1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</row>
    <row r="47" spans="1:9" ht="1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</row>
    <row r="48" spans="1:9" ht="15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</row>
    <row r="49" spans="1:9" ht="1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</row>
    <row r="50" spans="1:9" ht="1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</row>
    <row r="51" spans="1:9" ht="1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</row>
    <row r="52" spans="1:9" ht="15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</row>
    <row r="53" spans="1:9" ht="1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</row>
    <row r="54" spans="1:9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</row>
    <row r="56" spans="1:9" ht="16" x14ac:dyDescent="0.2">
      <c r="A56" s="67" t="s">
        <v>293</v>
      </c>
    </row>
    <row r="57" spans="1:9" x14ac:dyDescent="0.2">
      <c r="A57" s="50" t="s">
        <v>294</v>
      </c>
    </row>
    <row r="58" spans="1:9" x14ac:dyDescent="0.2">
      <c r="A58" s="15" t="s">
        <v>295</v>
      </c>
      <c r="B58" s="40">
        <f>'Precious Metals'!X11/1000000</f>
        <v>780.98648745868047</v>
      </c>
      <c r="C58" s="4" t="s">
        <v>296</v>
      </c>
    </row>
    <row r="59" spans="1:9" x14ac:dyDescent="0.2">
      <c r="A59" s="15" t="s">
        <v>297</v>
      </c>
      <c r="B59" s="40">
        <f>'Precious Metals'!X19/1000000</f>
        <v>0</v>
      </c>
      <c r="C59" s="4" t="s">
        <v>296</v>
      </c>
    </row>
    <row r="60" spans="1:9" x14ac:dyDescent="0.2">
      <c r="A60" s="15" t="s">
        <v>298</v>
      </c>
      <c r="B60" s="40">
        <f>'Precious Metals'!X27/1000000</f>
        <v>0</v>
      </c>
      <c r="C60" s="4" t="s">
        <v>296</v>
      </c>
    </row>
    <row r="61" spans="1:9" x14ac:dyDescent="0.2">
      <c r="A61" s="15" t="s">
        <v>299</v>
      </c>
      <c r="B61" s="40">
        <f>'Precious Metals'!X35/1000000</f>
        <v>0</v>
      </c>
      <c r="C61" s="4" t="s">
        <v>296</v>
      </c>
    </row>
    <row r="62" spans="1:9" x14ac:dyDescent="0.2">
      <c r="A62" s="15" t="s">
        <v>300</v>
      </c>
      <c r="B62" s="40">
        <f>'Base Metals'!X10/1000000</f>
        <v>7914.9521384619875</v>
      </c>
      <c r="C62" s="4" t="s">
        <v>296</v>
      </c>
    </row>
    <row r="63" spans="1:9" x14ac:dyDescent="0.2">
      <c r="A63" s="15" t="s">
        <v>301</v>
      </c>
      <c r="B63" s="40">
        <f>'Base Metals'!X17/1000000</f>
        <v>0</v>
      </c>
      <c r="C63" s="4" t="s">
        <v>296</v>
      </c>
    </row>
    <row r="64" spans="1:9" x14ac:dyDescent="0.2">
      <c r="A64" s="15" t="s">
        <v>302</v>
      </c>
      <c r="B64" s="40">
        <f>('Base Metals'!X24+'Base Metals'!X31+'Base Metals'!X38+'Base Metals'!X45+'Base Metals'!X52+'Base Metals'!X59)/1000000</f>
        <v>0</v>
      </c>
      <c r="C64" s="4" t="s">
        <v>296</v>
      </c>
    </row>
    <row r="65" spans="1:4" x14ac:dyDescent="0.2">
      <c r="A65" s="68" t="s">
        <v>303</v>
      </c>
      <c r="B65" s="69">
        <f>'By-product Revenue'!X31/1000000</f>
        <v>7807.6419339323247</v>
      </c>
      <c r="C65" s="70" t="s">
        <v>296</v>
      </c>
      <c r="D65" s="71"/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X2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12</v>
      </c>
    </row>
    <row r="3" spans="1:24" ht="15" customHeight="1" x14ac:dyDescent="0.2">
      <c r="A3" s="72"/>
      <c r="B3" s="72"/>
      <c r="C3" s="72" t="s">
        <v>304</v>
      </c>
      <c r="D3" s="72" t="s">
        <v>305</v>
      </c>
      <c r="E3" s="72" t="s">
        <v>306</v>
      </c>
      <c r="F3" s="72" t="s">
        <v>307</v>
      </c>
      <c r="G3" s="72" t="s">
        <v>308</v>
      </c>
      <c r="H3" s="72" t="s">
        <v>309</v>
      </c>
      <c r="I3" s="72" t="s">
        <v>310</v>
      </c>
      <c r="J3" s="72" t="s">
        <v>311</v>
      </c>
      <c r="K3" s="72" t="s">
        <v>312</v>
      </c>
      <c r="L3" s="72" t="s">
        <v>313</v>
      </c>
      <c r="M3" s="72" t="s">
        <v>314</v>
      </c>
      <c r="N3" s="72" t="s">
        <v>315</v>
      </c>
      <c r="O3" s="72" t="s">
        <v>316</v>
      </c>
      <c r="P3" s="72" t="s">
        <v>317</v>
      </c>
      <c r="Q3" s="72" t="s">
        <v>318</v>
      </c>
      <c r="R3" s="72" t="s">
        <v>319</v>
      </c>
      <c r="S3" s="72" t="s">
        <v>320</v>
      </c>
      <c r="T3" s="72" t="s">
        <v>321</v>
      </c>
      <c r="U3" s="72" t="s">
        <v>322</v>
      </c>
      <c r="V3" s="72" t="s">
        <v>323</v>
      </c>
      <c r="W3" s="72" t="s">
        <v>324</v>
      </c>
      <c r="X3" s="73" t="s">
        <v>124</v>
      </c>
    </row>
    <row r="5" spans="1:24" ht="15" customHeight="1" x14ac:dyDescent="0.2">
      <c r="A5" s="22" t="s">
        <v>325</v>
      </c>
      <c r="B5" s="4" t="s">
        <v>326</v>
      </c>
      <c r="C5" s="37">
        <v>0</v>
      </c>
      <c r="D5" s="40">
        <f>Assumptions!B25</f>
        <v>5500</v>
      </c>
      <c r="E5" s="40">
        <f>Assumptions!B26</f>
        <v>8000</v>
      </c>
      <c r="F5" s="40">
        <f>Assumptions!B27</f>
        <v>10000</v>
      </c>
      <c r="G5" s="40">
        <f>Assumptions!B27</f>
        <v>10000</v>
      </c>
      <c r="H5" s="40">
        <f>Assumptions!B27</f>
        <v>10000</v>
      </c>
      <c r="I5" s="40">
        <f>Assumptions!B27</f>
        <v>10000</v>
      </c>
      <c r="J5" s="40">
        <f>Assumptions!B27</f>
        <v>10000</v>
      </c>
      <c r="K5" s="40">
        <f>Assumptions!B27</f>
        <v>10000</v>
      </c>
      <c r="L5" s="40">
        <f>Assumptions!B27</f>
        <v>10000</v>
      </c>
      <c r="M5" s="40">
        <f>Assumptions!B27</f>
        <v>10000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</row>
    <row r="6" spans="1:24" ht="15" customHeight="1" x14ac:dyDescent="0.2">
      <c r="A6" s="22" t="s">
        <v>327</v>
      </c>
      <c r="B6" s="4" t="s">
        <v>328</v>
      </c>
      <c r="C6" s="37">
        <f>IF(2025=Assumptions!B56,Assumptions!B57,0)</f>
        <v>0</v>
      </c>
      <c r="D6" s="37">
        <f>IF(2026=Assumptions!B56,Assumptions!B57,0)</f>
        <v>0</v>
      </c>
      <c r="E6" s="37">
        <f>IF(2027=Assumptions!B56,Assumptions!B57,0)</f>
        <v>0</v>
      </c>
      <c r="F6" s="37">
        <f>IF(2028=Assumptions!B56,Assumptions!B57,0)</f>
        <v>0</v>
      </c>
      <c r="G6" s="37">
        <f>IF(2029=Assumptions!B56,Assumptions!B57,0)</f>
        <v>0</v>
      </c>
      <c r="H6" s="37">
        <f>IF(2030=Assumptions!B56,Assumptions!B57,0)</f>
        <v>100</v>
      </c>
      <c r="I6" s="37">
        <f>IF(2031=Assumptions!B56,Assumptions!B57,0)</f>
        <v>0</v>
      </c>
      <c r="J6" s="37">
        <f>IF(2032=Assumptions!B56,Assumptions!B57,0)</f>
        <v>0</v>
      </c>
      <c r="K6" s="37">
        <f>IF(2033=Assumptions!B56,Assumptions!B57,0)</f>
        <v>0</v>
      </c>
      <c r="L6" s="37">
        <f>IF(2034=Assumptions!B56,Assumptions!B57,0)</f>
        <v>0</v>
      </c>
      <c r="M6" s="37">
        <f>IF(2035=Assumptions!B56,Assumptions!B57,0)</f>
        <v>0</v>
      </c>
      <c r="N6" s="37">
        <f>IF(2036=Assumptions!B56,Assumptions!B57,0)</f>
        <v>0</v>
      </c>
      <c r="O6" s="37">
        <f>IF(2037=Assumptions!B56,Assumptions!B57,0)</f>
        <v>0</v>
      </c>
      <c r="P6" s="37">
        <f>IF(2038=Assumptions!B56,Assumptions!B57,0)</f>
        <v>0</v>
      </c>
      <c r="Q6" s="37">
        <f>IF(2039=Assumptions!B56,Assumptions!B57,0)</f>
        <v>0</v>
      </c>
      <c r="R6" s="37">
        <f>IF(2040=Assumptions!B56,Assumptions!B57,0)</f>
        <v>0</v>
      </c>
      <c r="S6" s="37">
        <f>IF(2041=Assumptions!B56,Assumptions!B57,0)</f>
        <v>0</v>
      </c>
      <c r="T6" s="37">
        <f>IF(2042=Assumptions!B56,Assumptions!B57,0)</f>
        <v>0</v>
      </c>
      <c r="U6" s="37">
        <f>IF(2043=Assumptions!B56,Assumptions!B57,0)</f>
        <v>0</v>
      </c>
      <c r="V6" s="37">
        <f>IF(2044=Assumptions!B56,Assumptions!B57,0)</f>
        <v>0</v>
      </c>
      <c r="W6" s="37">
        <f>IF(2045=Assumptions!B56,Assumptions!B57,0)</f>
        <v>0</v>
      </c>
    </row>
    <row r="7" spans="1:24" ht="15" customHeight="1" x14ac:dyDescent="0.2">
      <c r="A7" s="22" t="s">
        <v>329</v>
      </c>
      <c r="B7" s="4" t="s">
        <v>328</v>
      </c>
      <c r="C7" s="37">
        <v>0</v>
      </c>
      <c r="D7" s="37">
        <f>Assumptions!B20-D6</f>
        <v>250</v>
      </c>
      <c r="E7" s="37">
        <f>Assumptions!B21-E6</f>
        <v>340</v>
      </c>
      <c r="F7" s="37">
        <f>Assumptions!B21-F6</f>
        <v>340</v>
      </c>
      <c r="G7" s="37">
        <f>Assumptions!B21-G6</f>
        <v>340</v>
      </c>
      <c r="H7" s="37">
        <f>Assumptions!B21-H6</f>
        <v>240</v>
      </c>
      <c r="I7" s="37">
        <f>Assumptions!B21-I6</f>
        <v>340</v>
      </c>
      <c r="J7" s="37">
        <f>Assumptions!B21-J6</f>
        <v>340</v>
      </c>
      <c r="K7" s="37">
        <f>Assumptions!B21-K6</f>
        <v>340</v>
      </c>
      <c r="L7" s="37">
        <f>Assumptions!B21-L6</f>
        <v>340</v>
      </c>
      <c r="M7" s="37">
        <f>Assumptions!B22</f>
        <v>70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</row>
    <row r="8" spans="1:24" ht="15" customHeight="1" x14ac:dyDescent="0.2">
      <c r="A8" s="22" t="s">
        <v>330</v>
      </c>
      <c r="B8" s="4" t="s">
        <v>326</v>
      </c>
      <c r="C8" s="37">
        <v>0</v>
      </c>
      <c r="D8" s="37">
        <f t="shared" ref="D8:M8" si="0">D5</f>
        <v>5500</v>
      </c>
      <c r="E8" s="37">
        <f t="shared" si="0"/>
        <v>8000</v>
      </c>
      <c r="F8" s="37">
        <f t="shared" si="0"/>
        <v>10000</v>
      </c>
      <c r="G8" s="37">
        <f t="shared" si="0"/>
        <v>10000</v>
      </c>
      <c r="H8" s="37">
        <f t="shared" si="0"/>
        <v>10000</v>
      </c>
      <c r="I8" s="37">
        <f t="shared" si="0"/>
        <v>10000</v>
      </c>
      <c r="J8" s="37">
        <f t="shared" si="0"/>
        <v>10000</v>
      </c>
      <c r="K8" s="37">
        <f t="shared" si="0"/>
        <v>10000</v>
      </c>
      <c r="L8" s="37">
        <f t="shared" si="0"/>
        <v>10000</v>
      </c>
      <c r="M8" s="37">
        <f t="shared" si="0"/>
        <v>10000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</row>
    <row r="9" spans="1:24" ht="15" customHeight="1" x14ac:dyDescent="0.2">
      <c r="A9" s="22" t="s">
        <v>331</v>
      </c>
      <c r="B9" s="4" t="s">
        <v>332</v>
      </c>
      <c r="C9" s="37">
        <f t="shared" ref="C9:W9" si="1">C8*C7</f>
        <v>0</v>
      </c>
      <c r="D9" s="37">
        <f t="shared" si="1"/>
        <v>1375000</v>
      </c>
      <c r="E9" s="37">
        <f t="shared" si="1"/>
        <v>2720000</v>
      </c>
      <c r="F9" s="37">
        <f t="shared" si="1"/>
        <v>3400000</v>
      </c>
      <c r="G9" s="37">
        <f t="shared" si="1"/>
        <v>3400000</v>
      </c>
      <c r="H9" s="37">
        <f t="shared" si="1"/>
        <v>2400000</v>
      </c>
      <c r="I9" s="37">
        <f t="shared" si="1"/>
        <v>3400000</v>
      </c>
      <c r="J9" s="37">
        <f t="shared" si="1"/>
        <v>3400000</v>
      </c>
      <c r="K9" s="37">
        <f t="shared" si="1"/>
        <v>3400000</v>
      </c>
      <c r="L9" s="37">
        <f t="shared" si="1"/>
        <v>3400000</v>
      </c>
      <c r="M9" s="37">
        <f t="shared" si="1"/>
        <v>700000</v>
      </c>
      <c r="N9" s="37">
        <f t="shared" si="1"/>
        <v>0</v>
      </c>
      <c r="O9" s="37">
        <f t="shared" si="1"/>
        <v>0</v>
      </c>
      <c r="P9" s="37">
        <f t="shared" si="1"/>
        <v>0</v>
      </c>
      <c r="Q9" s="37">
        <f t="shared" si="1"/>
        <v>0</v>
      </c>
      <c r="R9" s="37">
        <f t="shared" si="1"/>
        <v>0</v>
      </c>
      <c r="S9" s="37">
        <f t="shared" si="1"/>
        <v>0</v>
      </c>
      <c r="T9" s="37">
        <f t="shared" si="1"/>
        <v>0</v>
      </c>
      <c r="U9" s="37">
        <f t="shared" si="1"/>
        <v>0</v>
      </c>
      <c r="V9" s="37">
        <f t="shared" si="1"/>
        <v>0</v>
      </c>
      <c r="W9" s="37">
        <f t="shared" si="1"/>
        <v>0</v>
      </c>
      <c r="X9" s="74">
        <f>SUM(C9:W9)</f>
        <v>27595000</v>
      </c>
    </row>
    <row r="10" spans="1:24" ht="15" customHeight="1" x14ac:dyDescent="0.2">
      <c r="A10" s="22" t="s">
        <v>333</v>
      </c>
      <c r="B10" s="4" t="s">
        <v>334</v>
      </c>
      <c r="C10" s="64">
        <f>Assumptions!B28</f>
        <v>2</v>
      </c>
      <c r="D10" s="64">
        <f>Assumptions!B28</f>
        <v>2</v>
      </c>
      <c r="E10" s="64">
        <f>Assumptions!B28</f>
        <v>2</v>
      </c>
      <c r="F10" s="64">
        <f>Assumptions!B28</f>
        <v>2</v>
      </c>
      <c r="G10" s="64">
        <f>Assumptions!B28</f>
        <v>2</v>
      </c>
      <c r="H10" s="64">
        <f>Assumptions!B28</f>
        <v>2</v>
      </c>
      <c r="I10" s="64">
        <f>Assumptions!B28</f>
        <v>2</v>
      </c>
      <c r="J10" s="64">
        <f>Assumptions!B28</f>
        <v>2</v>
      </c>
      <c r="K10" s="64">
        <f>Assumptions!B28</f>
        <v>2</v>
      </c>
      <c r="L10" s="64">
        <f>Assumptions!B28</f>
        <v>2</v>
      </c>
      <c r="M10" s="64">
        <f>Assumptions!B28</f>
        <v>2</v>
      </c>
      <c r="N10" s="64">
        <f>Assumptions!B28</f>
        <v>2</v>
      </c>
      <c r="O10" s="64">
        <f>Assumptions!B28</f>
        <v>2</v>
      </c>
      <c r="P10" s="64">
        <f>Assumptions!B28</f>
        <v>2</v>
      </c>
      <c r="Q10" s="64">
        <f>Assumptions!B28</f>
        <v>2</v>
      </c>
      <c r="R10" s="64">
        <f>Assumptions!B28</f>
        <v>2</v>
      </c>
      <c r="S10" s="64">
        <f>Assumptions!B28</f>
        <v>2</v>
      </c>
      <c r="T10" s="64">
        <f>Assumptions!B28</f>
        <v>2</v>
      </c>
      <c r="U10" s="64">
        <f>Assumptions!B28</f>
        <v>2</v>
      </c>
      <c r="V10" s="64">
        <f>Assumptions!B28</f>
        <v>2</v>
      </c>
      <c r="W10" s="64">
        <f>Assumptions!B28</f>
        <v>2</v>
      </c>
    </row>
    <row r="11" spans="1:24" ht="15" customHeight="1" x14ac:dyDescent="0.2">
      <c r="A11" s="22" t="s">
        <v>335</v>
      </c>
      <c r="B11" s="4" t="s">
        <v>117</v>
      </c>
      <c r="C11" s="45">
        <f>Assumptions!B29</f>
        <v>0.95</v>
      </c>
      <c r="D11" s="45">
        <f>Assumptions!B29</f>
        <v>0.95</v>
      </c>
      <c r="E11" s="45">
        <f>Assumptions!B29</f>
        <v>0.95</v>
      </c>
      <c r="F11" s="45">
        <f>Assumptions!B29</f>
        <v>0.95</v>
      </c>
      <c r="G11" s="45">
        <f>Assumptions!B29</f>
        <v>0.95</v>
      </c>
      <c r="H11" s="45">
        <f>Assumptions!B29</f>
        <v>0.95</v>
      </c>
      <c r="I11" s="45">
        <f>Assumptions!B29</f>
        <v>0.95</v>
      </c>
      <c r="J11" s="45">
        <f>Assumptions!B29</f>
        <v>0.95</v>
      </c>
      <c r="K11" s="45">
        <f>Assumptions!B29</f>
        <v>0.95</v>
      </c>
      <c r="L11" s="45">
        <f>Assumptions!B29</f>
        <v>0.95</v>
      </c>
      <c r="M11" s="45">
        <f>Assumptions!B29</f>
        <v>0.95</v>
      </c>
      <c r="N11" s="45">
        <f>Assumptions!B29</f>
        <v>0.95</v>
      </c>
      <c r="O11" s="45">
        <f>Assumptions!B29</f>
        <v>0.95</v>
      </c>
      <c r="P11" s="45">
        <f>Assumptions!B29</f>
        <v>0.95</v>
      </c>
      <c r="Q11" s="45">
        <f>Assumptions!B29</f>
        <v>0.95</v>
      </c>
      <c r="R11" s="45">
        <f>Assumptions!B29</f>
        <v>0.95</v>
      </c>
      <c r="S11" s="45">
        <f>Assumptions!B29</f>
        <v>0.95</v>
      </c>
      <c r="T11" s="45">
        <f>Assumptions!B29</f>
        <v>0.95</v>
      </c>
      <c r="U11" s="45">
        <f>Assumptions!B29</f>
        <v>0.95</v>
      </c>
      <c r="V11" s="45">
        <f>Assumptions!B29</f>
        <v>0.95</v>
      </c>
      <c r="W11" s="45">
        <f>Assumptions!B29</f>
        <v>0.95</v>
      </c>
    </row>
    <row r="12" spans="1:24" ht="15" customHeight="1" x14ac:dyDescent="0.2">
      <c r="A12" s="22" t="s">
        <v>336</v>
      </c>
      <c r="B12" s="4" t="s">
        <v>337</v>
      </c>
      <c r="C12" s="37">
        <f t="shared" ref="C12:W12" si="2">C9*C10*C11/1000</f>
        <v>0</v>
      </c>
      <c r="D12" s="37">
        <f t="shared" si="2"/>
        <v>2612.5</v>
      </c>
      <c r="E12" s="37">
        <f t="shared" si="2"/>
        <v>5168</v>
      </c>
      <c r="F12" s="37">
        <f t="shared" si="2"/>
        <v>6460</v>
      </c>
      <c r="G12" s="37">
        <f t="shared" si="2"/>
        <v>6460</v>
      </c>
      <c r="H12" s="37">
        <f t="shared" si="2"/>
        <v>4560</v>
      </c>
      <c r="I12" s="37">
        <f t="shared" si="2"/>
        <v>6460</v>
      </c>
      <c r="J12" s="37">
        <f t="shared" si="2"/>
        <v>6460</v>
      </c>
      <c r="K12" s="37">
        <f t="shared" si="2"/>
        <v>6460</v>
      </c>
      <c r="L12" s="37">
        <f t="shared" si="2"/>
        <v>6460</v>
      </c>
      <c r="M12" s="37">
        <f t="shared" si="2"/>
        <v>1330</v>
      </c>
      <c r="N12" s="37">
        <f t="shared" si="2"/>
        <v>0</v>
      </c>
      <c r="O12" s="37">
        <f t="shared" si="2"/>
        <v>0</v>
      </c>
      <c r="P12" s="37">
        <f t="shared" si="2"/>
        <v>0</v>
      </c>
      <c r="Q12" s="37">
        <f t="shared" si="2"/>
        <v>0</v>
      </c>
      <c r="R12" s="37">
        <f t="shared" si="2"/>
        <v>0</v>
      </c>
      <c r="S12" s="37">
        <f t="shared" si="2"/>
        <v>0</v>
      </c>
      <c r="T12" s="37">
        <f t="shared" si="2"/>
        <v>0</v>
      </c>
      <c r="U12" s="37">
        <f t="shared" si="2"/>
        <v>0</v>
      </c>
      <c r="V12" s="37">
        <f t="shared" si="2"/>
        <v>0</v>
      </c>
      <c r="W12" s="37">
        <f t="shared" si="2"/>
        <v>0</v>
      </c>
      <c r="X12" s="74">
        <f>SUM(C12:W12)</f>
        <v>52430.5</v>
      </c>
    </row>
    <row r="13" spans="1:24" ht="15" customHeight="1" x14ac:dyDescent="0.2">
      <c r="A13" s="22" t="s">
        <v>338</v>
      </c>
      <c r="B13" s="4" t="s">
        <v>337</v>
      </c>
      <c r="C13" s="75">
        <f>SUM(C12:W12)</f>
        <v>52430.5</v>
      </c>
      <c r="D13" s="75">
        <f t="shared" ref="D13:W13" si="3">MAX(0,C13-C12)</f>
        <v>52430.5</v>
      </c>
      <c r="E13" s="75">
        <f t="shared" si="3"/>
        <v>49818</v>
      </c>
      <c r="F13" s="75">
        <f t="shared" si="3"/>
        <v>44650</v>
      </c>
      <c r="G13" s="75">
        <f t="shared" si="3"/>
        <v>38190</v>
      </c>
      <c r="H13" s="75">
        <f t="shared" si="3"/>
        <v>31730</v>
      </c>
      <c r="I13" s="75">
        <f t="shared" si="3"/>
        <v>27170</v>
      </c>
      <c r="J13" s="75">
        <f t="shared" si="3"/>
        <v>20710</v>
      </c>
      <c r="K13" s="75">
        <f t="shared" si="3"/>
        <v>14250</v>
      </c>
      <c r="L13" s="75">
        <f t="shared" si="3"/>
        <v>7790</v>
      </c>
      <c r="M13" s="75">
        <f t="shared" si="3"/>
        <v>1330</v>
      </c>
      <c r="N13" s="75">
        <f t="shared" si="3"/>
        <v>0</v>
      </c>
      <c r="O13" s="75">
        <f t="shared" si="3"/>
        <v>0</v>
      </c>
      <c r="P13" s="75">
        <f t="shared" si="3"/>
        <v>0</v>
      </c>
      <c r="Q13" s="75">
        <f t="shared" si="3"/>
        <v>0</v>
      </c>
      <c r="R13" s="75">
        <f t="shared" si="3"/>
        <v>0</v>
      </c>
      <c r="S13" s="75">
        <f t="shared" si="3"/>
        <v>0</v>
      </c>
      <c r="T13" s="75">
        <f t="shared" si="3"/>
        <v>0</v>
      </c>
      <c r="U13" s="75">
        <f t="shared" si="3"/>
        <v>0</v>
      </c>
      <c r="V13" s="75">
        <f t="shared" si="3"/>
        <v>0</v>
      </c>
      <c r="W13" s="75">
        <f t="shared" si="3"/>
        <v>0</v>
      </c>
    </row>
    <row r="14" spans="1:24" ht="15" customHeight="1" x14ac:dyDescent="0.2">
      <c r="A14" s="22" t="s">
        <v>259</v>
      </c>
      <c r="B14" s="4" t="s">
        <v>339</v>
      </c>
      <c r="C14" s="40">
        <f>Assumptions!B13</f>
        <v>2350</v>
      </c>
      <c r="D14" s="37">
        <f>C14*(1+Assumptions!B14)</f>
        <v>2397</v>
      </c>
      <c r="E14" s="37">
        <f>D14*(1+Assumptions!B14)</f>
        <v>2444.94</v>
      </c>
      <c r="F14" s="37">
        <f>E14*(1+Assumptions!B14)</f>
        <v>2493.8388</v>
      </c>
      <c r="G14" s="37">
        <f>F14*(1+Assumptions!B14)</f>
        <v>2543.7155760000001</v>
      </c>
      <c r="H14" s="37">
        <f>G14*(1+Assumptions!B14)</f>
        <v>2594.58988752</v>
      </c>
      <c r="I14" s="37">
        <f>H14*(1+Assumptions!B14)</f>
        <v>2646.4816852704002</v>
      </c>
      <c r="J14" s="37">
        <f>I14*(1+Assumptions!B14)</f>
        <v>2699.4113189758082</v>
      </c>
      <c r="K14" s="37">
        <f>J14*(1+Assumptions!B14)</f>
        <v>2753.3995453553243</v>
      </c>
      <c r="L14" s="37">
        <f>K14*(1+Assumptions!B14)</f>
        <v>2808.4675362624307</v>
      </c>
      <c r="M14" s="37">
        <f>L14*(1+Assumptions!B14)</f>
        <v>2864.6368869876792</v>
      </c>
      <c r="N14" s="37">
        <f>M14*(1+Assumptions!B14)</f>
        <v>2921.9296247274328</v>
      </c>
      <c r="O14" s="37">
        <f>N14*(1+Assumptions!B14)</f>
        <v>2980.3682172219815</v>
      </c>
      <c r="P14" s="37">
        <f>O14*(1+Assumptions!B14)</f>
        <v>3039.9755815664212</v>
      </c>
      <c r="Q14" s="37">
        <f>P14*(1+Assumptions!B14)</f>
        <v>3100.7750931977498</v>
      </c>
      <c r="R14" s="37">
        <f>Q14*(1+Assumptions!B14)</f>
        <v>3162.7905950617051</v>
      </c>
      <c r="S14" s="37">
        <f>R14*(1+Assumptions!B14)</f>
        <v>3226.0464069629393</v>
      </c>
      <c r="T14" s="37">
        <f>S14*(1+Assumptions!B14)</f>
        <v>3290.5673351021983</v>
      </c>
      <c r="U14" s="37">
        <f>T14*(1+Assumptions!B14)</f>
        <v>3356.3786818042422</v>
      </c>
      <c r="V14" s="37">
        <f>U14*(1+Assumptions!B14)</f>
        <v>3423.5062554403271</v>
      </c>
      <c r="W14" s="37">
        <f>V14*(1+Assumptions!B14)</f>
        <v>3491.9763805491339</v>
      </c>
    </row>
    <row r="15" spans="1:24" ht="15" customHeight="1" x14ac:dyDescent="0.2">
      <c r="A15" s="22" t="s">
        <v>340</v>
      </c>
      <c r="B15" s="4"/>
      <c r="C15" s="64">
        <f>Assumptions!B9</f>
        <v>18.5</v>
      </c>
      <c r="D15" s="60">
        <f>C15*(1+Assumptions!B10)</f>
        <v>19.055</v>
      </c>
      <c r="E15" s="60">
        <f>D15*(1+Assumptions!B10)</f>
        <v>19.626650000000001</v>
      </c>
      <c r="F15" s="60">
        <f>E15*(1+Assumptions!B10)</f>
        <v>20.215449500000002</v>
      </c>
      <c r="G15" s="60">
        <f>F15*(1+Assumptions!B10)</f>
        <v>20.821912985000001</v>
      </c>
      <c r="H15" s="60">
        <f>G15*(1+Assumptions!B10)</f>
        <v>21.446570374550003</v>
      </c>
      <c r="I15" s="60">
        <f>H15*(1+Assumptions!B10)</f>
        <v>22.089967485786502</v>
      </c>
      <c r="J15" s="60">
        <f>I15*(1+Assumptions!B10)</f>
        <v>22.752666510360097</v>
      </c>
      <c r="K15" s="60">
        <f>J15*(1+Assumptions!B10)</f>
        <v>23.4352465056709</v>
      </c>
      <c r="L15" s="60">
        <f>K15*(1+Assumptions!B10)</f>
        <v>24.138303900841027</v>
      </c>
      <c r="M15" s="60">
        <f>L15*(1+Assumptions!B10)</f>
        <v>24.862453017866258</v>
      </c>
      <c r="N15" s="60">
        <f>M15*(1+Assumptions!B10)</f>
        <v>25.608326608402248</v>
      </c>
      <c r="O15" s="60">
        <f>N15*(1+Assumptions!B10)</f>
        <v>26.376576406654316</v>
      </c>
      <c r="P15" s="60">
        <f>O15*(1+Assumptions!B10)</f>
        <v>27.167873698853946</v>
      </c>
      <c r="Q15" s="60">
        <f>P15*(1+Assumptions!B10)</f>
        <v>27.982909909819565</v>
      </c>
      <c r="R15" s="60">
        <f>Q15*(1+Assumptions!B10)</f>
        <v>28.822397207114154</v>
      </c>
      <c r="S15" s="60">
        <f>R15*(1+Assumptions!B10)</f>
        <v>29.687069123327579</v>
      </c>
      <c r="T15" s="60">
        <f>S15*(1+Assumptions!B10)</f>
        <v>30.577681197027406</v>
      </c>
      <c r="U15" s="60">
        <f>T15*(1+Assumptions!B10)</f>
        <v>31.49501163293823</v>
      </c>
      <c r="V15" s="60">
        <f>U15*(1+Assumptions!B10)</f>
        <v>32.439861981926377</v>
      </c>
      <c r="W15" s="60">
        <f>V15*(1+Assumptions!B10)</f>
        <v>33.413057841384166</v>
      </c>
    </row>
    <row r="16" spans="1:24" ht="15" customHeight="1" x14ac:dyDescent="0.2">
      <c r="A16" s="22" t="s">
        <v>261</v>
      </c>
      <c r="B16" s="4" t="s">
        <v>341</v>
      </c>
      <c r="C16" s="76">
        <f>C14*C15/Assumptions!B15</f>
        <v>1397.7526644911345</v>
      </c>
      <c r="D16" s="76">
        <f>D14*D15/Assumptions!B15</f>
        <v>1468.4789493143858</v>
      </c>
      <c r="E16" s="76">
        <f>E14*E15/Assumptions!B15</f>
        <v>1542.7839841496939</v>
      </c>
      <c r="F16" s="76">
        <f>F14*F15/Assumptions!B15</f>
        <v>1620.8488537476683</v>
      </c>
      <c r="G16" s="76">
        <f>G14*G15/Assumptions!B15</f>
        <v>1702.8638057473004</v>
      </c>
      <c r="H16" s="76">
        <f>H14*H15/Assumptions!B15</f>
        <v>1789.028714318114</v>
      </c>
      <c r="I16" s="76">
        <f>I14*I15/Assumptions!B15</f>
        <v>1879.5535672626106</v>
      </c>
      <c r="J16" s="76">
        <f>J14*J15/Assumptions!B15</f>
        <v>1974.6589777660986</v>
      </c>
      <c r="K16" s="76">
        <f>K14*K15/Assumptions!B15</f>
        <v>2074.576722041063</v>
      </c>
      <c r="L16" s="76">
        <f>L14*L15/Assumptions!B15</f>
        <v>2179.5503041763409</v>
      </c>
      <c r="M16" s="76">
        <f>M14*M15/Assumptions!B15</f>
        <v>2289.8355495676633</v>
      </c>
      <c r="N16" s="76">
        <f>N14*N15/Assumptions!B15</f>
        <v>2405.7012283757877</v>
      </c>
      <c r="O16" s="76">
        <f>O14*O15/Assumptions!B15</f>
        <v>2527.4297105316027</v>
      </c>
      <c r="P16" s="76">
        <f>P14*P15/Assumptions!B15</f>
        <v>2655.3176538845019</v>
      </c>
      <c r="Q16" s="76">
        <f>Q14*Q15/Assumptions!B15</f>
        <v>2789.6767271710578</v>
      </c>
      <c r="R16" s="76">
        <f>R14*R15/Assumptions!B15</f>
        <v>2930.8343695659137</v>
      </c>
      <c r="S16" s="76">
        <f>S14*S15/Assumptions!B15</f>
        <v>3079.1345886659492</v>
      </c>
      <c r="T16" s="76">
        <f>T14*T15/Assumptions!B15</f>
        <v>3234.9387988524468</v>
      </c>
      <c r="U16" s="76">
        <f>U14*U15/Assumptions!B15</f>
        <v>3398.6267020743803</v>
      </c>
      <c r="V16" s="76">
        <f>V14*V15/Assumptions!B15</f>
        <v>3570.5972131993444</v>
      </c>
      <c r="W16" s="76">
        <f>W14*W15/Assumptions!B15</f>
        <v>3751.2694321872309</v>
      </c>
    </row>
    <row r="17" spans="1:24" ht="15" customHeight="1" x14ac:dyDescent="0.2">
      <c r="A17" s="22" t="s">
        <v>342</v>
      </c>
      <c r="B17" s="4" t="s">
        <v>343</v>
      </c>
      <c r="C17" s="64">
        <f>Assumptions!B30</f>
        <v>5</v>
      </c>
      <c r="D17" s="64">
        <f>Assumptions!B30</f>
        <v>5</v>
      </c>
      <c r="E17" s="64">
        <f>Assumptions!B30</f>
        <v>5</v>
      </c>
      <c r="F17" s="64">
        <f>Assumptions!B30</f>
        <v>5</v>
      </c>
      <c r="G17" s="64">
        <f>Assumptions!B30</f>
        <v>5</v>
      </c>
      <c r="H17" s="64">
        <f>Assumptions!B30</f>
        <v>5</v>
      </c>
      <c r="I17" s="64">
        <f>Assumptions!B30</f>
        <v>5</v>
      </c>
      <c r="J17" s="64">
        <f>Assumptions!B30</f>
        <v>5</v>
      </c>
      <c r="K17" s="64">
        <f>Assumptions!B30</f>
        <v>5</v>
      </c>
      <c r="L17" s="64">
        <f>Assumptions!B30</f>
        <v>5</v>
      </c>
      <c r="M17" s="64">
        <f>Assumptions!B30</f>
        <v>5</v>
      </c>
      <c r="N17" s="64">
        <f>Assumptions!B30</f>
        <v>5</v>
      </c>
      <c r="O17" s="64">
        <f>Assumptions!B30</f>
        <v>5</v>
      </c>
      <c r="P17" s="64">
        <f>Assumptions!B30</f>
        <v>5</v>
      </c>
      <c r="Q17" s="64">
        <f>Assumptions!B30</f>
        <v>5</v>
      </c>
      <c r="R17" s="64">
        <f>Assumptions!B30</f>
        <v>5</v>
      </c>
      <c r="S17" s="64">
        <f>Assumptions!B30</f>
        <v>5</v>
      </c>
      <c r="T17" s="64">
        <f>Assumptions!B30</f>
        <v>5</v>
      </c>
      <c r="U17" s="64">
        <f>Assumptions!B30</f>
        <v>5</v>
      </c>
      <c r="V17" s="64">
        <f>Assumptions!B30</f>
        <v>5</v>
      </c>
      <c r="W17" s="64">
        <f>Assumptions!B30</f>
        <v>5</v>
      </c>
    </row>
    <row r="18" spans="1:24" ht="15" customHeight="1" x14ac:dyDescent="0.2">
      <c r="A18" s="22" t="s">
        <v>344</v>
      </c>
      <c r="B18" s="4" t="s">
        <v>326</v>
      </c>
      <c r="C18" s="37">
        <f t="shared" ref="C18:W18" si="4">C8*C17</f>
        <v>0</v>
      </c>
      <c r="D18" s="37">
        <f t="shared" si="4"/>
        <v>27500</v>
      </c>
      <c r="E18" s="37">
        <f t="shared" si="4"/>
        <v>40000</v>
      </c>
      <c r="F18" s="37">
        <f t="shared" si="4"/>
        <v>50000</v>
      </c>
      <c r="G18" s="37">
        <f t="shared" si="4"/>
        <v>50000</v>
      </c>
      <c r="H18" s="37">
        <f t="shared" si="4"/>
        <v>50000</v>
      </c>
      <c r="I18" s="37">
        <f t="shared" si="4"/>
        <v>50000</v>
      </c>
      <c r="J18" s="37">
        <f t="shared" si="4"/>
        <v>50000</v>
      </c>
      <c r="K18" s="37">
        <f t="shared" si="4"/>
        <v>50000</v>
      </c>
      <c r="L18" s="37">
        <f t="shared" si="4"/>
        <v>50000</v>
      </c>
      <c r="M18" s="37">
        <f t="shared" si="4"/>
        <v>50000</v>
      </c>
      <c r="N18" s="37">
        <f t="shared" si="4"/>
        <v>0</v>
      </c>
      <c r="O18" s="37">
        <f t="shared" si="4"/>
        <v>0</v>
      </c>
      <c r="P18" s="37">
        <f t="shared" si="4"/>
        <v>0</v>
      </c>
      <c r="Q18" s="37">
        <f t="shared" si="4"/>
        <v>0</v>
      </c>
      <c r="R18" s="37">
        <f t="shared" si="4"/>
        <v>0</v>
      </c>
      <c r="S18" s="37">
        <f t="shared" si="4"/>
        <v>0</v>
      </c>
      <c r="T18" s="37">
        <f t="shared" si="4"/>
        <v>0</v>
      </c>
      <c r="U18" s="37">
        <f t="shared" si="4"/>
        <v>0</v>
      </c>
      <c r="V18" s="37">
        <f t="shared" si="4"/>
        <v>0</v>
      </c>
      <c r="W18" s="37">
        <f t="shared" si="4"/>
        <v>0</v>
      </c>
    </row>
    <row r="19" spans="1:24" ht="15" customHeight="1" x14ac:dyDescent="0.2">
      <c r="A19" s="22" t="s">
        <v>345</v>
      </c>
      <c r="B19" s="4" t="s">
        <v>332</v>
      </c>
      <c r="C19" s="37">
        <f t="shared" ref="C19:W19" si="5">C18*C7</f>
        <v>0</v>
      </c>
      <c r="D19" s="37">
        <f t="shared" si="5"/>
        <v>6875000</v>
      </c>
      <c r="E19" s="37">
        <f t="shared" si="5"/>
        <v>13600000</v>
      </c>
      <c r="F19" s="37">
        <f t="shared" si="5"/>
        <v>17000000</v>
      </c>
      <c r="G19" s="37">
        <f t="shared" si="5"/>
        <v>17000000</v>
      </c>
      <c r="H19" s="37">
        <f t="shared" si="5"/>
        <v>12000000</v>
      </c>
      <c r="I19" s="37">
        <f t="shared" si="5"/>
        <v>17000000</v>
      </c>
      <c r="J19" s="37">
        <f t="shared" si="5"/>
        <v>17000000</v>
      </c>
      <c r="K19" s="37">
        <f t="shared" si="5"/>
        <v>17000000</v>
      </c>
      <c r="L19" s="37">
        <f t="shared" si="5"/>
        <v>17000000</v>
      </c>
      <c r="M19" s="37">
        <f t="shared" si="5"/>
        <v>3500000</v>
      </c>
      <c r="N19" s="37">
        <f t="shared" si="5"/>
        <v>0</v>
      </c>
      <c r="O19" s="37">
        <f t="shared" si="5"/>
        <v>0</v>
      </c>
      <c r="P19" s="37">
        <f t="shared" si="5"/>
        <v>0</v>
      </c>
      <c r="Q19" s="37">
        <f t="shared" si="5"/>
        <v>0</v>
      </c>
      <c r="R19" s="37">
        <f t="shared" si="5"/>
        <v>0</v>
      </c>
      <c r="S19" s="37">
        <f t="shared" si="5"/>
        <v>0</v>
      </c>
      <c r="T19" s="37">
        <f t="shared" si="5"/>
        <v>0</v>
      </c>
      <c r="U19" s="37">
        <f t="shared" si="5"/>
        <v>0</v>
      </c>
      <c r="V19" s="37">
        <f t="shared" si="5"/>
        <v>0</v>
      </c>
      <c r="W19" s="37">
        <f t="shared" si="5"/>
        <v>0</v>
      </c>
      <c r="X19" s="74">
        <f>SUM(C19:W19)</f>
        <v>137975000</v>
      </c>
    </row>
    <row r="20" spans="1:24" ht="15" customHeight="1" x14ac:dyDescent="0.2">
      <c r="A20" s="22" t="s">
        <v>346</v>
      </c>
      <c r="B20" s="4" t="s">
        <v>117</v>
      </c>
      <c r="C20" s="77">
        <v>1</v>
      </c>
      <c r="D20" s="77">
        <f>C20*(1+Assumptions!B8)</f>
        <v>1.06</v>
      </c>
      <c r="E20" s="77">
        <f>D20*(1+Assumptions!B8)</f>
        <v>1.1236000000000002</v>
      </c>
      <c r="F20" s="77">
        <f>E20*(1+Assumptions!B8)</f>
        <v>1.1910160000000003</v>
      </c>
      <c r="G20" s="77">
        <f>F20*(1+Assumptions!B8)</f>
        <v>1.2624769600000003</v>
      </c>
      <c r="H20" s="77">
        <f>G20*(1+Assumptions!B8)</f>
        <v>1.3382255776000005</v>
      </c>
      <c r="I20" s="77">
        <f>H20*(1+Assumptions!B8)</f>
        <v>1.4185191122560006</v>
      </c>
      <c r="J20" s="77">
        <f>I20*(1+Assumptions!B8)</f>
        <v>1.5036302589913606</v>
      </c>
      <c r="K20" s="77">
        <f>J20*(1+Assumptions!B8)</f>
        <v>1.5938480745308423</v>
      </c>
      <c r="L20" s="77">
        <f>K20*(1+Assumptions!B8)</f>
        <v>1.6894789590026928</v>
      </c>
      <c r="M20" s="77">
        <f>L20*(1+Assumptions!B8)</f>
        <v>1.7908476965428546</v>
      </c>
      <c r="N20" s="77">
        <f>M20*(1+Assumptions!B8)</f>
        <v>1.8982985583354259</v>
      </c>
      <c r="O20" s="77">
        <f>N20*(1+Assumptions!B8)</f>
        <v>2.0121964718355514</v>
      </c>
      <c r="P20" s="77">
        <f>O20*(1+Assumptions!B8)</f>
        <v>2.1329282601456847</v>
      </c>
      <c r="Q20" s="77">
        <f>P20*(1+Assumptions!B8)</f>
        <v>2.2609039557544257</v>
      </c>
      <c r="R20" s="77">
        <f>Q20*(1+Assumptions!B8)</f>
        <v>2.3965581930996915</v>
      </c>
      <c r="S20" s="77">
        <f>R20*(1+Assumptions!B8)</f>
        <v>2.5403516846856733</v>
      </c>
      <c r="T20" s="77">
        <f>S20*(1+Assumptions!B8)</f>
        <v>2.692772785766814</v>
      </c>
      <c r="U20" s="77">
        <f>T20*(1+Assumptions!B8)</f>
        <v>2.8543391529128228</v>
      </c>
      <c r="V20" s="77">
        <f>U20*(1+Assumptions!B8)</f>
        <v>3.0255995020875925</v>
      </c>
      <c r="W20" s="77">
        <f>V20*(1+Assumptions!B8)</f>
        <v>3.2071354722128484</v>
      </c>
    </row>
    <row r="21" spans="1:24" ht="15" customHeight="1" x14ac:dyDescent="0.2">
      <c r="A21" s="22" t="s">
        <v>347</v>
      </c>
      <c r="B21" s="4" t="s">
        <v>348</v>
      </c>
      <c r="C21" s="78">
        <f>Assumptions!B33</f>
        <v>175</v>
      </c>
      <c r="D21" s="76">
        <f>C21*(1+Assumptions!B8)*(1-Assumptions!B37)</f>
        <v>181.79</v>
      </c>
      <c r="E21" s="76">
        <f>D21*(1+Assumptions!B8)*(1-Assumptions!B37)</f>
        <v>188.84345199999998</v>
      </c>
      <c r="F21" s="76">
        <f>E21*(1+Assumptions!B8)*(1-Assumptions!B37)</f>
        <v>196.17057793759997</v>
      </c>
      <c r="G21" s="76">
        <f>F21*(1+Assumptions!B8)*(1-Assumptions!B37)</f>
        <v>203.78199636157885</v>
      </c>
      <c r="H21" s="76">
        <f>G21*(1+Assumptions!B8)*(1-Assumptions!B37)</f>
        <v>211.68873782040811</v>
      </c>
      <c r="I21" s="76">
        <f>H21*(1+Assumptions!B8)*(1-Assumptions!B37)</f>
        <v>219.90226084783995</v>
      </c>
      <c r="J21" s="76">
        <f>I21*(1+Assumptions!B8)*(1-Assumptions!B37)</f>
        <v>228.43446856873615</v>
      </c>
      <c r="K21" s="76">
        <f>J21*(1+Assumptions!B8)*(1-Assumptions!B37)</f>
        <v>237.29772594920311</v>
      </c>
      <c r="L21" s="76">
        <f>K21*(1+Assumptions!B8)*(1-Assumptions!B37)</f>
        <v>246.50487771603218</v>
      </c>
      <c r="M21" s="76">
        <f>L21*(1+Assumptions!B8)*(1-Assumptions!B37)</f>
        <v>256.06926697141421</v>
      </c>
      <c r="N21" s="76">
        <f>M21*(1+Assumptions!B8)*(1-Assumptions!B37)</f>
        <v>266.00475452990509</v>
      </c>
      <c r="O21" s="76">
        <f>N21*(1+Assumptions!B8)*(1-Assumptions!B37)</f>
        <v>276.32573900566541</v>
      </c>
      <c r="P21" s="76">
        <f>O21*(1+Assumptions!B8)*(1-Assumptions!B37)</f>
        <v>287.04717767908528</v>
      </c>
      <c r="Q21" s="76">
        <f>P21*(1+Assumptions!B8)*(1-Assumptions!B37)</f>
        <v>298.18460817303384</v>
      </c>
      <c r="R21" s="76">
        <f>Q21*(1+Assumptions!B8)*(1-Assumptions!B37)</f>
        <v>309.75417097014753</v>
      </c>
      <c r="S21" s="76">
        <f>R21*(1+Assumptions!B8)*(1-Assumptions!B37)</f>
        <v>321.77263280378929</v>
      </c>
      <c r="T21" s="76">
        <f>S21*(1+Assumptions!B8)*(1-Assumptions!B37)</f>
        <v>334.25741095657634</v>
      </c>
      <c r="U21" s="76">
        <f>T21*(1+Assumptions!B8)*(1-Assumptions!B37)</f>
        <v>347.22659850169151</v>
      </c>
      <c r="V21" s="76">
        <f>U21*(1+Assumptions!B8)*(1-Assumptions!B37)</f>
        <v>360.69899052355714</v>
      </c>
      <c r="W21" s="76">
        <f>V21*(1+Assumptions!B8)*(1-Assumptions!B37)</f>
        <v>374.6941113558712</v>
      </c>
    </row>
    <row r="22" spans="1:24" ht="15" customHeight="1" x14ac:dyDescent="0.2">
      <c r="A22" s="22" t="s">
        <v>349</v>
      </c>
      <c r="B22" s="4" t="s">
        <v>348</v>
      </c>
      <c r="C22" s="78">
        <f>Assumptions!B34</f>
        <v>148</v>
      </c>
      <c r="D22" s="76">
        <f>C22*(1+Assumptions!B8)*(1-Assumptions!B38)</f>
        <v>153.7424</v>
      </c>
      <c r="E22" s="76">
        <f>D22*(1+Assumptions!B8)*(1-Assumptions!B38)</f>
        <v>159.70760512000001</v>
      </c>
      <c r="F22" s="76">
        <f>E22*(1+Assumptions!B8)*(1-Assumptions!B38)</f>
        <v>165.904260198656</v>
      </c>
      <c r="G22" s="76">
        <f>F22*(1+Assumptions!B8)*(1-Assumptions!B38)</f>
        <v>172.34134549436385</v>
      </c>
      <c r="H22" s="76">
        <f>G22*(1+Assumptions!B8)*(1-Assumptions!B38)</f>
        <v>179.02818969954518</v>
      </c>
      <c r="I22" s="76">
        <f>H22*(1+Assumptions!B8)*(1-Assumptions!B38)</f>
        <v>185.97448345988752</v>
      </c>
      <c r="J22" s="76">
        <f>I22*(1+Assumptions!B8)*(1-Assumptions!B38)</f>
        <v>193.19029341813115</v>
      </c>
      <c r="K22" s="76">
        <f>J22*(1+Assumptions!B8)*(1-Assumptions!B38)</f>
        <v>200.68607680275466</v>
      </c>
      <c r="L22" s="76">
        <f>K22*(1+Assumptions!B8)*(1-Assumptions!B38)</f>
        <v>208.47269658270156</v>
      </c>
      <c r="M22" s="76">
        <f>L22*(1+Assumptions!B8)*(1-Assumptions!B38)</f>
        <v>216.56143721011037</v>
      </c>
      <c r="N22" s="76">
        <f>M22*(1+Assumptions!B8)*(1-Assumptions!B38)</f>
        <v>224.96402097386266</v>
      </c>
      <c r="O22" s="76">
        <f>N22*(1+Assumptions!B8)*(1-Assumptions!B38)</f>
        <v>233.69262498764854</v>
      </c>
      <c r="P22" s="76">
        <f>O22*(1+Assumptions!B8)*(1-Assumptions!B38)</f>
        <v>242.75989883716932</v>
      </c>
      <c r="Q22" s="76">
        <f>P22*(1+Assumptions!B8)*(1-Assumptions!B38)</f>
        <v>252.17898291205151</v>
      </c>
      <c r="R22" s="76">
        <f>Q22*(1+Assumptions!B8)*(1-Assumptions!B38)</f>
        <v>261.96352744903913</v>
      </c>
      <c r="S22" s="76">
        <f>R22*(1+Assumptions!B8)*(1-Assumptions!B38)</f>
        <v>272.12771231406185</v>
      </c>
      <c r="T22" s="76">
        <f>S22*(1+Assumptions!B8)*(1-Assumptions!B38)</f>
        <v>282.68626755184749</v>
      </c>
      <c r="U22" s="76">
        <f>T22*(1+Assumptions!B8)*(1-Assumptions!B38)</f>
        <v>293.65449473285918</v>
      </c>
      <c r="V22" s="76">
        <f>U22*(1+Assumptions!B8)*(1-Assumptions!B38)</f>
        <v>305.0482891284941</v>
      </c>
      <c r="W22" s="76">
        <f>V22*(1+Assumptions!B8)*(1-Assumptions!B38)</f>
        <v>316.88416274667969</v>
      </c>
    </row>
    <row r="23" spans="1:24" ht="15" customHeight="1" x14ac:dyDescent="0.2">
      <c r="A23" s="22" t="s">
        <v>350</v>
      </c>
      <c r="B23" s="4" t="s">
        <v>88</v>
      </c>
      <c r="C23" s="79">
        <v>0</v>
      </c>
      <c r="D23" s="79">
        <f>IF(Operations!D7=0,0,Assumptions!B35)</f>
        <v>18000000</v>
      </c>
      <c r="E23" s="63">
        <f>IF(Operations!E7=0,0,D23*(1+Assumptions!$B$8))</f>
        <v>19080000</v>
      </c>
      <c r="F23" s="63">
        <f>IF(Operations!F7=0,0,E23*(1+Assumptions!$B$8))</f>
        <v>20224800</v>
      </c>
      <c r="G23" s="63">
        <f>IF(Operations!G7=0,0,F23*(1+Assumptions!$B$8))</f>
        <v>21438288</v>
      </c>
      <c r="H23" s="63">
        <f>IF(Operations!H7=0,0,G23*(1+Assumptions!$B$8))</f>
        <v>22724585.280000001</v>
      </c>
      <c r="I23" s="63">
        <f>IF(Operations!I7=0,0,H23*(1+Assumptions!$B$8))</f>
        <v>24088060.396800004</v>
      </c>
      <c r="J23" s="63">
        <f>IF(Operations!J7=0,0,I23*(1+Assumptions!$B$8))</f>
        <v>25533344.020608004</v>
      </c>
      <c r="K23" s="63">
        <f>IF(Operations!K7=0,0,J23*(1+Assumptions!$B$8))</f>
        <v>27065344.661844485</v>
      </c>
      <c r="L23" s="63">
        <f>IF(Operations!L7=0,0,K23*(1+Assumptions!$B$8))</f>
        <v>28689265.341555156</v>
      </c>
      <c r="M23" s="63">
        <f>IF(Operations!M7=0,0,L23*(1+Assumptions!$B$8))</f>
        <v>30410621.262048468</v>
      </c>
      <c r="N23" s="63">
        <f>IF(Operations!N7=0,0,M23*(1+Assumptions!$B$8))</f>
        <v>0</v>
      </c>
      <c r="O23" s="63">
        <f>IF(Operations!O7=0,0,N23*(1+Assumptions!$B$8))</f>
        <v>0</v>
      </c>
      <c r="P23" s="63">
        <f>IF(Operations!P7=0,0,O23*(1+Assumptions!$B$8))</f>
        <v>0</v>
      </c>
      <c r="Q23" s="63">
        <f>IF(Operations!Q7=0,0,P23*(1+Assumptions!$B$8))</f>
        <v>0</v>
      </c>
      <c r="R23" s="63">
        <f>IF(Operations!R7=0,0,Q23*(1+Assumptions!$B$8))</f>
        <v>0</v>
      </c>
      <c r="S23" s="63">
        <f>IF(Operations!S7=0,0,R23*(1+Assumptions!$B$8))</f>
        <v>0</v>
      </c>
      <c r="T23" s="63">
        <f>IF(Operations!T7=0,0,S23*(1+Assumptions!$B$8))</f>
        <v>0</v>
      </c>
      <c r="U23" s="63">
        <f>IF(Operations!U7=0,0,T23*(1+Assumptions!$B$8))</f>
        <v>0</v>
      </c>
      <c r="V23" s="63">
        <f>IF(Operations!V7=0,0,U23*(1+Assumptions!$B$8))</f>
        <v>0</v>
      </c>
      <c r="W23" s="63">
        <f>IF(Operations!W7=0,0,V23*(1+Assumptions!$B$8))</f>
        <v>0</v>
      </c>
    </row>
    <row r="24" spans="1:24" ht="15" customHeight="1" x14ac:dyDescent="0.2">
      <c r="A24" s="22" t="s">
        <v>351</v>
      </c>
      <c r="B24" s="4" t="s">
        <v>88</v>
      </c>
      <c r="C24" s="63">
        <v>0</v>
      </c>
      <c r="D24" s="79">
        <f>Assumptions!B67</f>
        <v>12000000</v>
      </c>
      <c r="E24" s="79">
        <f>Assumptions!B67</f>
        <v>12000000</v>
      </c>
      <c r="F24" s="79">
        <f>Assumptions!B67</f>
        <v>12000000</v>
      </c>
      <c r="G24" s="79">
        <f>Assumptions!B67</f>
        <v>12000000</v>
      </c>
      <c r="H24" s="79">
        <f>Assumptions!B67</f>
        <v>12000000</v>
      </c>
      <c r="I24" s="79">
        <f>Assumptions!B67</f>
        <v>12000000</v>
      </c>
      <c r="J24" s="79">
        <f>Assumptions!B67</f>
        <v>12000000</v>
      </c>
      <c r="K24" s="79">
        <f>Assumptions!B67</f>
        <v>12000000</v>
      </c>
      <c r="L24" s="79">
        <f>Assumptions!B67</f>
        <v>12000000</v>
      </c>
      <c r="M24" s="79">
        <f>Assumptions!B67</f>
        <v>12000000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6" customWidth="1"/>
    <col min="2" max="2" width="12" customWidth="1"/>
    <col min="3" max="24" width="15" customWidth="1"/>
  </cols>
  <sheetData>
    <row r="1" spans="1:24" ht="18" x14ac:dyDescent="0.2">
      <c r="A1" s="80" t="s">
        <v>352</v>
      </c>
    </row>
    <row r="2" spans="1:24" x14ac:dyDescent="0.2">
      <c r="A2" s="50" t="s">
        <v>353</v>
      </c>
    </row>
    <row r="3" spans="1:24" x14ac:dyDescent="0.2">
      <c r="C3" s="81" t="s">
        <v>304</v>
      </c>
      <c r="D3" s="81" t="s">
        <v>305</v>
      </c>
      <c r="E3" s="81" t="s">
        <v>306</v>
      </c>
      <c r="F3" s="81" t="s">
        <v>307</v>
      </c>
      <c r="G3" s="81" t="s">
        <v>308</v>
      </c>
      <c r="H3" s="81" t="s">
        <v>309</v>
      </c>
      <c r="I3" s="81" t="s">
        <v>310</v>
      </c>
      <c r="J3" s="81" t="s">
        <v>311</v>
      </c>
      <c r="K3" s="81" t="s">
        <v>312</v>
      </c>
      <c r="L3" s="81" t="s">
        <v>313</v>
      </c>
      <c r="M3" s="81" t="s">
        <v>314</v>
      </c>
      <c r="N3" s="81" t="s">
        <v>315</v>
      </c>
      <c r="O3" s="81" t="s">
        <v>316</v>
      </c>
      <c r="P3" s="81" t="s">
        <v>317</v>
      </c>
      <c r="Q3" s="81" t="s">
        <v>318</v>
      </c>
      <c r="R3" s="81" t="s">
        <v>319</v>
      </c>
      <c r="S3" s="81" t="s">
        <v>320</v>
      </c>
      <c r="T3" s="81" t="s">
        <v>321</v>
      </c>
      <c r="U3" s="81" t="s">
        <v>322</v>
      </c>
      <c r="V3" s="81" t="s">
        <v>323</v>
      </c>
      <c r="W3" s="81" t="s">
        <v>324</v>
      </c>
      <c r="X3" s="81" t="s">
        <v>124</v>
      </c>
    </row>
    <row r="5" spans="1:24" ht="16" x14ac:dyDescent="0.2">
      <c r="A5" s="82" t="s">
        <v>354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</row>
    <row r="6" spans="1:24" x14ac:dyDescent="0.2">
      <c r="A6" t="s">
        <v>355</v>
      </c>
      <c r="B6" s="4" t="s">
        <v>356</v>
      </c>
      <c r="C6" s="84">
        <f>Assumptions!$D$115</f>
        <v>1.5</v>
      </c>
      <c r="D6" s="84">
        <f>Assumptions!$D$115</f>
        <v>1.5</v>
      </c>
      <c r="E6" s="84">
        <f>Assumptions!$D$115</f>
        <v>1.5</v>
      </c>
      <c r="F6" s="84">
        <f>Assumptions!$D$115</f>
        <v>1.5</v>
      </c>
      <c r="G6" s="84">
        <f>Assumptions!$D$115</f>
        <v>1.5</v>
      </c>
      <c r="H6" s="84">
        <f>Assumptions!$D$115</f>
        <v>1.5</v>
      </c>
      <c r="I6" s="84">
        <f>Assumptions!$D$115</f>
        <v>1.5</v>
      </c>
      <c r="J6" s="84">
        <f>Assumptions!$D$115</f>
        <v>1.5</v>
      </c>
      <c r="K6" s="84">
        <f>Assumptions!$D$115</f>
        <v>1.5</v>
      </c>
      <c r="L6" s="84">
        <f>Assumptions!$D$115</f>
        <v>1.5</v>
      </c>
      <c r="M6" s="84">
        <f>Assumptions!$D$115</f>
        <v>1.5</v>
      </c>
      <c r="N6" s="84">
        <f>Assumptions!$D$115</f>
        <v>1.5</v>
      </c>
      <c r="O6" s="84">
        <f>Assumptions!$D$115</f>
        <v>1.5</v>
      </c>
      <c r="P6" s="84">
        <f>Assumptions!$D$115</f>
        <v>1.5</v>
      </c>
      <c r="Q6" s="84">
        <f>Assumptions!$D$115</f>
        <v>1.5</v>
      </c>
      <c r="R6" s="84">
        <f>Assumptions!$D$115</f>
        <v>1.5</v>
      </c>
      <c r="S6" s="84">
        <f>Assumptions!$D$115</f>
        <v>1.5</v>
      </c>
      <c r="T6" s="84">
        <f>Assumptions!$D$115</f>
        <v>1.5</v>
      </c>
      <c r="U6" s="84">
        <f>Assumptions!$D$115</f>
        <v>1.5</v>
      </c>
      <c r="V6" s="84">
        <f>Assumptions!$D$115</f>
        <v>1.5</v>
      </c>
      <c r="W6" s="84">
        <f>Assumptions!$D$115</f>
        <v>1.5</v>
      </c>
    </row>
    <row r="7" spans="1:24" x14ac:dyDescent="0.2">
      <c r="A7" t="s">
        <v>357</v>
      </c>
      <c r="B7" s="4" t="s">
        <v>117</v>
      </c>
      <c r="C7" s="85">
        <f>Assumptions!$E$115</f>
        <v>0.8</v>
      </c>
      <c r="D7" s="85">
        <f>Assumptions!$E$115</f>
        <v>0.8</v>
      </c>
      <c r="E7" s="85">
        <f>Assumptions!$E$115</f>
        <v>0.8</v>
      </c>
      <c r="F7" s="85">
        <f>Assumptions!$E$115</f>
        <v>0.8</v>
      </c>
      <c r="G7" s="85">
        <f>Assumptions!$E$115</f>
        <v>0.8</v>
      </c>
      <c r="H7" s="85">
        <f>Assumptions!$E$115</f>
        <v>0.8</v>
      </c>
      <c r="I7" s="85">
        <f>Assumptions!$E$115</f>
        <v>0.8</v>
      </c>
      <c r="J7" s="85">
        <f>Assumptions!$E$115</f>
        <v>0.8</v>
      </c>
      <c r="K7" s="85">
        <f>Assumptions!$E$115</f>
        <v>0.8</v>
      </c>
      <c r="L7" s="85">
        <f>Assumptions!$E$115</f>
        <v>0.8</v>
      </c>
      <c r="M7" s="85">
        <f>Assumptions!$E$115</f>
        <v>0.8</v>
      </c>
      <c r="N7" s="85">
        <f>Assumptions!$E$115</f>
        <v>0.8</v>
      </c>
      <c r="O7" s="85">
        <f>Assumptions!$E$115</f>
        <v>0.8</v>
      </c>
      <c r="P7" s="85">
        <f>Assumptions!$E$115</f>
        <v>0.8</v>
      </c>
      <c r="Q7" s="85">
        <f>Assumptions!$E$115</f>
        <v>0.8</v>
      </c>
      <c r="R7" s="85">
        <f>Assumptions!$E$115</f>
        <v>0.8</v>
      </c>
      <c r="S7" s="85">
        <f>Assumptions!$E$115</f>
        <v>0.8</v>
      </c>
      <c r="T7" s="85">
        <f>Assumptions!$E$115</f>
        <v>0.8</v>
      </c>
      <c r="U7" s="85">
        <f>Assumptions!$E$115</f>
        <v>0.8</v>
      </c>
      <c r="V7" s="85">
        <f>Assumptions!$E$115</f>
        <v>0.8</v>
      </c>
      <c r="W7" s="85">
        <f>Assumptions!$E$115</f>
        <v>0.8</v>
      </c>
    </row>
    <row r="8" spans="1:24" x14ac:dyDescent="0.2">
      <c r="A8" t="s">
        <v>358</v>
      </c>
      <c r="B8" s="4" t="s">
        <v>337</v>
      </c>
      <c r="C8" s="86">
        <f>Operations!C9*C6*C7/1000</f>
        <v>0</v>
      </c>
      <c r="D8" s="86">
        <f>Operations!D9*D6*D7/1000</f>
        <v>1650</v>
      </c>
      <c r="E8" s="86">
        <f>Operations!E9*E6*E7/1000</f>
        <v>3264</v>
      </c>
      <c r="F8" s="86">
        <f>Operations!F9*F6*F7/1000</f>
        <v>4080</v>
      </c>
      <c r="G8" s="86">
        <f>Operations!G9*G6*G7/1000</f>
        <v>4080</v>
      </c>
      <c r="H8" s="86">
        <f>Operations!H9*H6*H7/1000</f>
        <v>2880</v>
      </c>
      <c r="I8" s="86">
        <f>Operations!I9*I6*I7/1000</f>
        <v>4080</v>
      </c>
      <c r="J8" s="86">
        <f>Operations!J9*J6*J7/1000</f>
        <v>4080</v>
      </c>
      <c r="K8" s="86">
        <f>Operations!K9*K6*K7/1000</f>
        <v>4080</v>
      </c>
      <c r="L8" s="86">
        <f>Operations!L9*L6*L7/1000</f>
        <v>4080</v>
      </c>
      <c r="M8" s="86">
        <f>Operations!M9*M6*M7/1000</f>
        <v>840</v>
      </c>
      <c r="N8" s="86">
        <f>Operations!N9*N6*N7/1000</f>
        <v>0</v>
      </c>
      <c r="O8" s="86">
        <f>Operations!O9*O6*O7/1000</f>
        <v>0</v>
      </c>
      <c r="P8" s="86">
        <f>Operations!P9*P6*P7/1000</f>
        <v>0</v>
      </c>
      <c r="Q8" s="86">
        <f>Operations!Q9*Q6*Q7/1000</f>
        <v>0</v>
      </c>
      <c r="R8" s="86">
        <f>Operations!R9*R6*R7/1000</f>
        <v>0</v>
      </c>
      <c r="S8" s="86">
        <f>Operations!S9*S6*S7/1000</f>
        <v>0</v>
      </c>
      <c r="T8" s="86">
        <f>Operations!T9*T6*T7/1000</f>
        <v>0</v>
      </c>
      <c r="U8" s="86">
        <f>Operations!U9*U6*U7/1000</f>
        <v>0</v>
      </c>
      <c r="V8" s="86">
        <f>Operations!V9*V6*V7/1000</f>
        <v>0</v>
      </c>
      <c r="W8" s="86">
        <f>Operations!W9*W6*W7/1000</f>
        <v>0</v>
      </c>
      <c r="X8" s="87">
        <f>SUM(C8:W8)</f>
        <v>33114</v>
      </c>
    </row>
    <row r="9" spans="1:24" x14ac:dyDescent="0.2">
      <c r="A9" t="s">
        <v>358</v>
      </c>
      <c r="B9" s="4" t="s">
        <v>359</v>
      </c>
      <c r="C9" s="88">
        <f>C8*1000/Assumptions!$B$15</f>
        <v>0</v>
      </c>
      <c r="D9" s="88">
        <f>D8*1000/Assumptions!$B$15</f>
        <v>53048.692269358755</v>
      </c>
      <c r="E9" s="88">
        <f>E8*1000/Assumptions!$B$15</f>
        <v>104939.95852556785</v>
      </c>
      <c r="F9" s="88">
        <f>F8*1000/Assumptions!$B$15</f>
        <v>131174.94815695981</v>
      </c>
      <c r="G9" s="88">
        <f>G8*1000/Assumptions!$B$15</f>
        <v>131174.94815695981</v>
      </c>
      <c r="H9" s="88">
        <f>H8*1000/Assumptions!$B$15</f>
        <v>92594.081051971647</v>
      </c>
      <c r="I9" s="88">
        <f>I8*1000/Assumptions!$B$15</f>
        <v>131174.94815695981</v>
      </c>
      <c r="J9" s="88">
        <f>J8*1000/Assumptions!$B$15</f>
        <v>131174.94815695981</v>
      </c>
      <c r="K9" s="88">
        <f>K8*1000/Assumptions!$B$15</f>
        <v>131174.94815695981</v>
      </c>
      <c r="L9" s="88">
        <f>L8*1000/Assumptions!$B$15</f>
        <v>131174.94815695981</v>
      </c>
      <c r="M9" s="88">
        <f>M8*1000/Assumptions!$B$15</f>
        <v>27006.606973491729</v>
      </c>
      <c r="N9" s="88">
        <f>N8*1000/Assumptions!$B$15</f>
        <v>0</v>
      </c>
      <c r="O9" s="88">
        <f>O8*1000/Assumptions!$B$15</f>
        <v>0</v>
      </c>
      <c r="P9" s="88">
        <f>P8*1000/Assumptions!$B$15</f>
        <v>0</v>
      </c>
      <c r="Q9" s="88">
        <f>Q8*1000/Assumptions!$B$15</f>
        <v>0</v>
      </c>
      <c r="R9" s="88">
        <f>R8*1000/Assumptions!$B$15</f>
        <v>0</v>
      </c>
      <c r="S9" s="88">
        <f>S8*1000/Assumptions!$B$15</f>
        <v>0</v>
      </c>
      <c r="T9" s="88">
        <f>T8*1000/Assumptions!$B$15</f>
        <v>0</v>
      </c>
      <c r="U9" s="88">
        <f>U8*1000/Assumptions!$B$15</f>
        <v>0</v>
      </c>
      <c r="V9" s="88">
        <f>V8*1000/Assumptions!$B$15</f>
        <v>0</v>
      </c>
      <c r="W9" s="88">
        <f>W8*1000/Assumptions!$B$15</f>
        <v>0</v>
      </c>
      <c r="X9" s="87">
        <f>SUM(C9:W9)</f>
        <v>1064639.027762149</v>
      </c>
    </row>
    <row r="10" spans="1:24" x14ac:dyDescent="0.2">
      <c r="A10" t="s">
        <v>360</v>
      </c>
      <c r="B10" s="4" t="s">
        <v>339</v>
      </c>
      <c r="C10" s="40">
        <f>Assumptions!$B$115</f>
        <v>30</v>
      </c>
      <c r="D10" s="88">
        <f>C10*(1+Assumptions!$C$115)</f>
        <v>30.6</v>
      </c>
      <c r="E10" s="88">
        <f>D10*(1+Assumptions!$C$115)</f>
        <v>31.212000000000003</v>
      </c>
      <c r="F10" s="88">
        <f>E10*(1+Assumptions!$C$115)</f>
        <v>31.836240000000004</v>
      </c>
      <c r="G10" s="88">
        <f>F10*(1+Assumptions!$C$115)</f>
        <v>32.472964800000007</v>
      </c>
      <c r="H10" s="88">
        <f>G10*(1+Assumptions!$C$115)</f>
        <v>33.12242409600001</v>
      </c>
      <c r="I10" s="88">
        <f>H10*(1+Assumptions!$C$115)</f>
        <v>33.784872577920012</v>
      </c>
      <c r="J10" s="88">
        <f>I10*(1+Assumptions!$C$115)</f>
        <v>34.460570029478411</v>
      </c>
      <c r="K10" s="88">
        <f>J10*(1+Assumptions!$C$115)</f>
        <v>35.149781430067982</v>
      </c>
      <c r="L10" s="88">
        <f>K10*(1+Assumptions!$C$115)</f>
        <v>35.852777058669339</v>
      </c>
      <c r="M10" s="88">
        <f>L10*(1+Assumptions!$C$115)</f>
        <v>36.569832599842726</v>
      </c>
      <c r="N10" s="88">
        <f>M10*(1+Assumptions!$C$115)</f>
        <v>37.30122925183958</v>
      </c>
      <c r="O10" s="88">
        <f>N10*(1+Assumptions!$C$115)</f>
        <v>38.047253836876372</v>
      </c>
      <c r="P10" s="88">
        <f>O10*(1+Assumptions!$C$115)</f>
        <v>38.8081989136139</v>
      </c>
      <c r="Q10" s="88">
        <f>P10*(1+Assumptions!$C$115)</f>
        <v>39.58436289188618</v>
      </c>
      <c r="R10" s="88">
        <f>Q10*(1+Assumptions!$C$115)</f>
        <v>40.376050149723902</v>
      </c>
      <c r="S10" s="88">
        <f>R10*(1+Assumptions!$C$115)</f>
        <v>41.183571152718379</v>
      </c>
      <c r="T10" s="88">
        <f>S10*(1+Assumptions!$C$115)</f>
        <v>42.00724257577275</v>
      </c>
      <c r="U10" s="88">
        <f>T10*(1+Assumptions!$C$115)</f>
        <v>42.847387427288204</v>
      </c>
      <c r="V10" s="88">
        <f>U10*(1+Assumptions!$C$115)</f>
        <v>43.704335175833968</v>
      </c>
      <c r="W10" s="88">
        <f>V10*(1+Assumptions!$C$115)</f>
        <v>44.57842187935065</v>
      </c>
    </row>
    <row r="11" spans="1:24" x14ac:dyDescent="0.2">
      <c r="A11" s="68" t="s">
        <v>361</v>
      </c>
      <c r="B11" s="70" t="s">
        <v>88</v>
      </c>
      <c r="C11" s="89">
        <f>C9*C10*Operations!C15</f>
        <v>0</v>
      </c>
      <c r="D11" s="89">
        <f>D9*D10*Operations!D15</f>
        <v>30931790.634494513</v>
      </c>
      <c r="E11" s="89">
        <f>E9*E10*Operations!E15</f>
        <v>64284854.352314055</v>
      </c>
      <c r="F11" s="89">
        <f>F9*F10*Operations!F15</f>
        <v>84422084.97817643</v>
      </c>
      <c r="G11" s="89">
        <f>G9*G10*Operations!G15</f>
        <v>88693842.478072152</v>
      </c>
      <c r="H11" s="89">
        <f>H9*H10*Operations!H15</f>
        <v>65775353.581738338</v>
      </c>
      <c r="I11" s="89">
        <f>I9*I10*Operations!I15</f>
        <v>97896747.503380239</v>
      </c>
      <c r="J11" s="89">
        <f>J9*J10*Operations!J15</f>
        <v>102850322.92705129</v>
      </c>
      <c r="K11" s="89">
        <f>K9*K10*Operations!K15</f>
        <v>108054549.26716007</v>
      </c>
      <c r="L11" s="89">
        <f>L9*L10*Operations!L15</f>
        <v>113522109.46007839</v>
      </c>
      <c r="M11" s="89">
        <f>M9*M10*Operations!M15</f>
        <v>24554832.276214957</v>
      </c>
      <c r="N11" s="89">
        <f>N9*N10*Operations!N15</f>
        <v>0</v>
      </c>
      <c r="O11" s="89">
        <f>O9*O10*Operations!O15</f>
        <v>0</v>
      </c>
      <c r="P11" s="89">
        <f>P9*P10*Operations!P15</f>
        <v>0</v>
      </c>
      <c r="Q11" s="89">
        <f>Q9*Q10*Operations!Q15</f>
        <v>0</v>
      </c>
      <c r="R11" s="89">
        <f>R9*R10*Operations!R15</f>
        <v>0</v>
      </c>
      <c r="S11" s="89">
        <f>S9*S10*Operations!S15</f>
        <v>0</v>
      </c>
      <c r="T11" s="89">
        <f>T9*T10*Operations!T15</f>
        <v>0</v>
      </c>
      <c r="U11" s="89">
        <f>U9*U10*Operations!U15</f>
        <v>0</v>
      </c>
      <c r="V11" s="89">
        <f>V9*V10*Operations!V15</f>
        <v>0</v>
      </c>
      <c r="W11" s="89">
        <f>W9*W10*Operations!W15</f>
        <v>0</v>
      </c>
      <c r="X11" s="90">
        <f>SUM(C11:W11)</f>
        <v>780986487.45868051</v>
      </c>
    </row>
    <row r="13" spans="1:24" ht="16" x14ac:dyDescent="0.2">
      <c r="A13" s="82" t="s">
        <v>362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spans="1:24" x14ac:dyDescent="0.2">
      <c r="A14" t="s">
        <v>355</v>
      </c>
      <c r="B14" s="4" t="s">
        <v>356</v>
      </c>
      <c r="C14" s="84">
        <f>Assumptions!$D$116</f>
        <v>0</v>
      </c>
      <c r="D14" s="84">
        <f>Assumptions!$D$116</f>
        <v>0</v>
      </c>
      <c r="E14" s="84">
        <f>Assumptions!$D$116</f>
        <v>0</v>
      </c>
      <c r="F14" s="84">
        <f>Assumptions!$D$116</f>
        <v>0</v>
      </c>
      <c r="G14" s="84">
        <f>Assumptions!$D$116</f>
        <v>0</v>
      </c>
      <c r="H14" s="84">
        <f>Assumptions!$D$116</f>
        <v>0</v>
      </c>
      <c r="I14" s="84">
        <f>Assumptions!$D$116</f>
        <v>0</v>
      </c>
      <c r="J14" s="84">
        <f>Assumptions!$D$116</f>
        <v>0</v>
      </c>
      <c r="K14" s="84">
        <f>Assumptions!$D$116</f>
        <v>0</v>
      </c>
      <c r="L14" s="84">
        <f>Assumptions!$D$116</f>
        <v>0</v>
      </c>
      <c r="M14" s="84">
        <f>Assumptions!$D$116</f>
        <v>0</v>
      </c>
      <c r="N14" s="84">
        <f>Assumptions!$D$116</f>
        <v>0</v>
      </c>
      <c r="O14" s="84">
        <f>Assumptions!$D$116</f>
        <v>0</v>
      </c>
      <c r="P14" s="84">
        <f>Assumptions!$D$116</f>
        <v>0</v>
      </c>
      <c r="Q14" s="84">
        <f>Assumptions!$D$116</f>
        <v>0</v>
      </c>
      <c r="R14" s="84">
        <f>Assumptions!$D$116</f>
        <v>0</v>
      </c>
      <c r="S14" s="84">
        <f>Assumptions!$D$116</f>
        <v>0</v>
      </c>
      <c r="T14" s="84">
        <f>Assumptions!$D$116</f>
        <v>0</v>
      </c>
      <c r="U14" s="84">
        <f>Assumptions!$D$116</f>
        <v>0</v>
      </c>
      <c r="V14" s="84">
        <f>Assumptions!$D$116</f>
        <v>0</v>
      </c>
      <c r="W14" s="84">
        <f>Assumptions!$D$116</f>
        <v>0</v>
      </c>
    </row>
    <row r="15" spans="1:24" x14ac:dyDescent="0.2">
      <c r="A15" t="s">
        <v>357</v>
      </c>
      <c r="B15" s="4" t="s">
        <v>117</v>
      </c>
      <c r="C15" s="85">
        <f>Assumptions!$E$116</f>
        <v>0</v>
      </c>
      <c r="D15" s="85">
        <f>Assumptions!$E$116</f>
        <v>0</v>
      </c>
      <c r="E15" s="85">
        <f>Assumptions!$E$116</f>
        <v>0</v>
      </c>
      <c r="F15" s="85">
        <f>Assumptions!$E$116</f>
        <v>0</v>
      </c>
      <c r="G15" s="85">
        <f>Assumptions!$E$116</f>
        <v>0</v>
      </c>
      <c r="H15" s="85">
        <f>Assumptions!$E$116</f>
        <v>0</v>
      </c>
      <c r="I15" s="85">
        <f>Assumptions!$E$116</f>
        <v>0</v>
      </c>
      <c r="J15" s="85">
        <f>Assumptions!$E$116</f>
        <v>0</v>
      </c>
      <c r="K15" s="85">
        <f>Assumptions!$E$116</f>
        <v>0</v>
      </c>
      <c r="L15" s="85">
        <f>Assumptions!$E$116</f>
        <v>0</v>
      </c>
      <c r="M15" s="85">
        <f>Assumptions!$E$116</f>
        <v>0</v>
      </c>
      <c r="N15" s="85">
        <f>Assumptions!$E$116</f>
        <v>0</v>
      </c>
      <c r="O15" s="85">
        <f>Assumptions!$E$116</f>
        <v>0</v>
      </c>
      <c r="P15" s="85">
        <f>Assumptions!$E$116</f>
        <v>0</v>
      </c>
      <c r="Q15" s="85">
        <f>Assumptions!$E$116</f>
        <v>0</v>
      </c>
      <c r="R15" s="85">
        <f>Assumptions!$E$116</f>
        <v>0</v>
      </c>
      <c r="S15" s="85">
        <f>Assumptions!$E$116</f>
        <v>0</v>
      </c>
      <c r="T15" s="85">
        <f>Assumptions!$E$116</f>
        <v>0</v>
      </c>
      <c r="U15" s="85">
        <f>Assumptions!$E$116</f>
        <v>0</v>
      </c>
      <c r="V15" s="85">
        <f>Assumptions!$E$116</f>
        <v>0</v>
      </c>
      <c r="W15" s="85">
        <f>Assumptions!$E$116</f>
        <v>0</v>
      </c>
    </row>
    <row r="16" spans="1:24" x14ac:dyDescent="0.2">
      <c r="A16" t="s">
        <v>363</v>
      </c>
      <c r="B16" s="4" t="s">
        <v>337</v>
      </c>
      <c r="C16" s="86">
        <f>Operations!C9*C14*C15/1000</f>
        <v>0</v>
      </c>
      <c r="D16" s="86">
        <f>Operations!D9*D14*D15/1000</f>
        <v>0</v>
      </c>
      <c r="E16" s="86">
        <f>Operations!E9*E14*E15/1000</f>
        <v>0</v>
      </c>
      <c r="F16" s="86">
        <f>Operations!F9*F14*F15/1000</f>
        <v>0</v>
      </c>
      <c r="G16" s="86">
        <f>Operations!G9*G14*G15/1000</f>
        <v>0</v>
      </c>
      <c r="H16" s="86">
        <f>Operations!H9*H14*H15/1000</f>
        <v>0</v>
      </c>
      <c r="I16" s="86">
        <f>Operations!I9*I14*I15/1000</f>
        <v>0</v>
      </c>
      <c r="J16" s="86">
        <f>Operations!J9*J14*J15/1000</f>
        <v>0</v>
      </c>
      <c r="K16" s="86">
        <f>Operations!K9*K14*K15/1000</f>
        <v>0</v>
      </c>
      <c r="L16" s="86">
        <f>Operations!L9*L14*L15/1000</f>
        <v>0</v>
      </c>
      <c r="M16" s="86">
        <f>Operations!M9*M14*M15/1000</f>
        <v>0</v>
      </c>
      <c r="N16" s="86">
        <f>Operations!N9*N14*N15/1000</f>
        <v>0</v>
      </c>
      <c r="O16" s="86">
        <f>Operations!O9*O14*O15/1000</f>
        <v>0</v>
      </c>
      <c r="P16" s="86">
        <f>Operations!P9*P14*P15/1000</f>
        <v>0</v>
      </c>
      <c r="Q16" s="86">
        <f>Operations!Q9*Q14*Q15/1000</f>
        <v>0</v>
      </c>
      <c r="R16" s="86">
        <f>Operations!R9*R14*R15/1000</f>
        <v>0</v>
      </c>
      <c r="S16" s="86">
        <f>Operations!S9*S14*S15/1000</f>
        <v>0</v>
      </c>
      <c r="T16" s="86">
        <f>Operations!T9*T14*T15/1000</f>
        <v>0</v>
      </c>
      <c r="U16" s="86">
        <f>Operations!U9*U14*U15/1000</f>
        <v>0</v>
      </c>
      <c r="V16" s="86">
        <f>Operations!V9*V14*V15/1000</f>
        <v>0</v>
      </c>
      <c r="W16" s="86">
        <f>Operations!W9*W14*W15/1000</f>
        <v>0</v>
      </c>
      <c r="X16" s="87">
        <f>SUM(C16:W16)</f>
        <v>0</v>
      </c>
    </row>
    <row r="17" spans="1:24" x14ac:dyDescent="0.2">
      <c r="A17" t="s">
        <v>363</v>
      </c>
      <c r="B17" s="4" t="s">
        <v>359</v>
      </c>
      <c r="C17" s="88">
        <f>C16*1000/Assumptions!$B$15</f>
        <v>0</v>
      </c>
      <c r="D17" s="88">
        <f>D16*1000/Assumptions!$B$15</f>
        <v>0</v>
      </c>
      <c r="E17" s="88">
        <f>E16*1000/Assumptions!$B$15</f>
        <v>0</v>
      </c>
      <c r="F17" s="88">
        <f>F16*1000/Assumptions!$B$15</f>
        <v>0</v>
      </c>
      <c r="G17" s="88">
        <f>G16*1000/Assumptions!$B$15</f>
        <v>0</v>
      </c>
      <c r="H17" s="88">
        <f>H16*1000/Assumptions!$B$15</f>
        <v>0</v>
      </c>
      <c r="I17" s="88">
        <f>I16*1000/Assumptions!$B$15</f>
        <v>0</v>
      </c>
      <c r="J17" s="88">
        <f>J16*1000/Assumptions!$B$15</f>
        <v>0</v>
      </c>
      <c r="K17" s="88">
        <f>K16*1000/Assumptions!$B$15</f>
        <v>0</v>
      </c>
      <c r="L17" s="88">
        <f>L16*1000/Assumptions!$B$15</f>
        <v>0</v>
      </c>
      <c r="M17" s="88">
        <f>M16*1000/Assumptions!$B$15</f>
        <v>0</v>
      </c>
      <c r="N17" s="88">
        <f>N16*1000/Assumptions!$B$15</f>
        <v>0</v>
      </c>
      <c r="O17" s="88">
        <f>O16*1000/Assumptions!$B$15</f>
        <v>0</v>
      </c>
      <c r="P17" s="88">
        <f>P16*1000/Assumptions!$B$15</f>
        <v>0</v>
      </c>
      <c r="Q17" s="88">
        <f>Q16*1000/Assumptions!$B$15</f>
        <v>0</v>
      </c>
      <c r="R17" s="88">
        <f>R16*1000/Assumptions!$B$15</f>
        <v>0</v>
      </c>
      <c r="S17" s="88">
        <f>S16*1000/Assumptions!$B$15</f>
        <v>0</v>
      </c>
      <c r="T17" s="88">
        <f>T16*1000/Assumptions!$B$15</f>
        <v>0</v>
      </c>
      <c r="U17" s="88">
        <f>U16*1000/Assumptions!$B$15</f>
        <v>0</v>
      </c>
      <c r="V17" s="88">
        <f>V16*1000/Assumptions!$B$15</f>
        <v>0</v>
      </c>
      <c r="W17" s="88">
        <f>W16*1000/Assumptions!$B$15</f>
        <v>0</v>
      </c>
      <c r="X17" s="87">
        <f>SUM(C17:W17)</f>
        <v>0</v>
      </c>
    </row>
    <row r="18" spans="1:24" x14ac:dyDescent="0.2">
      <c r="A18" t="s">
        <v>364</v>
      </c>
      <c r="B18" s="4" t="s">
        <v>339</v>
      </c>
      <c r="C18" s="40">
        <f>Assumptions!$B$116</f>
        <v>980</v>
      </c>
      <c r="D18" s="88">
        <f>C18*(1+Assumptions!$C$116)</f>
        <v>999.6</v>
      </c>
      <c r="E18" s="88">
        <f>D18*(1+Assumptions!$C$116)</f>
        <v>1019.592</v>
      </c>
      <c r="F18" s="88">
        <f>E18*(1+Assumptions!$C$116)</f>
        <v>1039.9838400000001</v>
      </c>
      <c r="G18" s="88">
        <f>F18*(1+Assumptions!$C$116)</f>
        <v>1060.7835168000001</v>
      </c>
      <c r="H18" s="88">
        <f>G18*(1+Assumptions!$C$116)</f>
        <v>1081.9991871360003</v>
      </c>
      <c r="I18" s="88">
        <f>H18*(1+Assumptions!$C$116)</f>
        <v>1103.6391708787203</v>
      </c>
      <c r="J18" s="88">
        <f>I18*(1+Assumptions!$C$116)</f>
        <v>1125.7119542962946</v>
      </c>
      <c r="K18" s="88">
        <f>J18*(1+Assumptions!$C$116)</f>
        <v>1148.2261933822206</v>
      </c>
      <c r="L18" s="88">
        <f>K18*(1+Assumptions!$C$116)</f>
        <v>1171.190717249865</v>
      </c>
      <c r="M18" s="88">
        <f>L18*(1+Assumptions!$C$116)</f>
        <v>1194.6145315948622</v>
      </c>
      <c r="N18" s="88">
        <f>M18*(1+Assumptions!$C$116)</f>
        <v>1218.5068222267596</v>
      </c>
      <c r="O18" s="88">
        <f>N18*(1+Assumptions!$C$116)</f>
        <v>1242.8769586712949</v>
      </c>
      <c r="P18" s="88">
        <f>O18*(1+Assumptions!$C$116)</f>
        <v>1267.7344978447209</v>
      </c>
      <c r="Q18" s="88">
        <f>P18*(1+Assumptions!$C$116)</f>
        <v>1293.0891878016153</v>
      </c>
      <c r="R18" s="88">
        <f>Q18*(1+Assumptions!$C$116)</f>
        <v>1318.9509715576476</v>
      </c>
      <c r="S18" s="88">
        <f>R18*(1+Assumptions!$C$116)</f>
        <v>1345.3299909888005</v>
      </c>
      <c r="T18" s="88">
        <f>S18*(1+Assumptions!$C$116)</f>
        <v>1372.2365908085767</v>
      </c>
      <c r="U18" s="88">
        <f>T18*(1+Assumptions!$C$116)</f>
        <v>1399.6813226247482</v>
      </c>
      <c r="V18" s="88">
        <f>U18*(1+Assumptions!$C$116)</f>
        <v>1427.6749490772431</v>
      </c>
      <c r="W18" s="88">
        <f>V18*(1+Assumptions!$C$116)</f>
        <v>1456.228448058788</v>
      </c>
    </row>
    <row r="19" spans="1:24" x14ac:dyDescent="0.2">
      <c r="A19" s="68" t="s">
        <v>365</v>
      </c>
      <c r="B19" s="70" t="s">
        <v>88</v>
      </c>
      <c r="C19" s="89">
        <f>C17*C18*Operations!C15</f>
        <v>0</v>
      </c>
      <c r="D19" s="89">
        <f>D17*D18*Operations!D15</f>
        <v>0</v>
      </c>
      <c r="E19" s="89">
        <f>E17*E18*Operations!E15</f>
        <v>0</v>
      </c>
      <c r="F19" s="89">
        <f>F17*F18*Operations!F15</f>
        <v>0</v>
      </c>
      <c r="G19" s="89">
        <f>G17*G18*Operations!G15</f>
        <v>0</v>
      </c>
      <c r="H19" s="89">
        <f>H17*H18*Operations!H15</f>
        <v>0</v>
      </c>
      <c r="I19" s="89">
        <f>I17*I18*Operations!I15</f>
        <v>0</v>
      </c>
      <c r="J19" s="89">
        <f>J17*J18*Operations!J15</f>
        <v>0</v>
      </c>
      <c r="K19" s="89">
        <f>K17*K18*Operations!K15</f>
        <v>0</v>
      </c>
      <c r="L19" s="89">
        <f>L17*L18*Operations!L15</f>
        <v>0</v>
      </c>
      <c r="M19" s="89">
        <f>M17*M18*Operations!M15</f>
        <v>0</v>
      </c>
      <c r="N19" s="89">
        <f>N17*N18*Operations!N15</f>
        <v>0</v>
      </c>
      <c r="O19" s="89">
        <f>O17*O18*Operations!O15</f>
        <v>0</v>
      </c>
      <c r="P19" s="89">
        <f>P17*P18*Operations!P15</f>
        <v>0</v>
      </c>
      <c r="Q19" s="89">
        <f>Q17*Q18*Operations!Q15</f>
        <v>0</v>
      </c>
      <c r="R19" s="89">
        <f>R17*R18*Operations!R15</f>
        <v>0</v>
      </c>
      <c r="S19" s="89">
        <f>S17*S18*Operations!S15</f>
        <v>0</v>
      </c>
      <c r="T19" s="89">
        <f>T17*T18*Operations!T15</f>
        <v>0</v>
      </c>
      <c r="U19" s="89">
        <f>U17*U18*Operations!U15</f>
        <v>0</v>
      </c>
      <c r="V19" s="89">
        <f>V17*V18*Operations!V15</f>
        <v>0</v>
      </c>
      <c r="W19" s="89">
        <f>W17*W18*Operations!W15</f>
        <v>0</v>
      </c>
      <c r="X19" s="90">
        <f>SUM(C19:W19)</f>
        <v>0</v>
      </c>
    </row>
    <row r="21" spans="1:24" ht="16" x14ac:dyDescent="0.2">
      <c r="A21" s="82" t="s">
        <v>366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spans="1:24" x14ac:dyDescent="0.2">
      <c r="A22" t="s">
        <v>355</v>
      </c>
      <c r="B22" s="4" t="s">
        <v>356</v>
      </c>
      <c r="C22" s="84">
        <f>Assumptions!$D$117</f>
        <v>0</v>
      </c>
      <c r="D22" s="84">
        <f>Assumptions!$D$117</f>
        <v>0</v>
      </c>
      <c r="E22" s="84">
        <f>Assumptions!$D$117</f>
        <v>0</v>
      </c>
      <c r="F22" s="84">
        <f>Assumptions!$D$117</f>
        <v>0</v>
      </c>
      <c r="G22" s="84">
        <f>Assumptions!$D$117</f>
        <v>0</v>
      </c>
      <c r="H22" s="84">
        <f>Assumptions!$D$117</f>
        <v>0</v>
      </c>
      <c r="I22" s="84">
        <f>Assumptions!$D$117</f>
        <v>0</v>
      </c>
      <c r="J22" s="84">
        <f>Assumptions!$D$117</f>
        <v>0</v>
      </c>
      <c r="K22" s="84">
        <f>Assumptions!$D$117</f>
        <v>0</v>
      </c>
      <c r="L22" s="84">
        <f>Assumptions!$D$117</f>
        <v>0</v>
      </c>
      <c r="M22" s="84">
        <f>Assumptions!$D$117</f>
        <v>0</v>
      </c>
      <c r="N22" s="84">
        <f>Assumptions!$D$117</f>
        <v>0</v>
      </c>
      <c r="O22" s="84">
        <f>Assumptions!$D$117</f>
        <v>0</v>
      </c>
      <c r="P22" s="84">
        <f>Assumptions!$D$117</f>
        <v>0</v>
      </c>
      <c r="Q22" s="84">
        <f>Assumptions!$D$117</f>
        <v>0</v>
      </c>
      <c r="R22" s="84">
        <f>Assumptions!$D$117</f>
        <v>0</v>
      </c>
      <c r="S22" s="84">
        <f>Assumptions!$D$117</f>
        <v>0</v>
      </c>
      <c r="T22" s="84">
        <f>Assumptions!$D$117</f>
        <v>0</v>
      </c>
      <c r="U22" s="84">
        <f>Assumptions!$D$117</f>
        <v>0</v>
      </c>
      <c r="V22" s="84">
        <f>Assumptions!$D$117</f>
        <v>0</v>
      </c>
      <c r="W22" s="84">
        <f>Assumptions!$D$117</f>
        <v>0</v>
      </c>
    </row>
    <row r="23" spans="1:24" x14ac:dyDescent="0.2">
      <c r="A23" t="s">
        <v>357</v>
      </c>
      <c r="B23" s="4" t="s">
        <v>117</v>
      </c>
      <c r="C23" s="85">
        <f>Assumptions!$E$117</f>
        <v>0</v>
      </c>
      <c r="D23" s="85">
        <f>Assumptions!$E$117</f>
        <v>0</v>
      </c>
      <c r="E23" s="85">
        <f>Assumptions!$E$117</f>
        <v>0</v>
      </c>
      <c r="F23" s="85">
        <f>Assumptions!$E$117</f>
        <v>0</v>
      </c>
      <c r="G23" s="85">
        <f>Assumptions!$E$117</f>
        <v>0</v>
      </c>
      <c r="H23" s="85">
        <f>Assumptions!$E$117</f>
        <v>0</v>
      </c>
      <c r="I23" s="85">
        <f>Assumptions!$E$117</f>
        <v>0</v>
      </c>
      <c r="J23" s="85">
        <f>Assumptions!$E$117</f>
        <v>0</v>
      </c>
      <c r="K23" s="85">
        <f>Assumptions!$E$117</f>
        <v>0</v>
      </c>
      <c r="L23" s="85">
        <f>Assumptions!$E$117</f>
        <v>0</v>
      </c>
      <c r="M23" s="85">
        <f>Assumptions!$E$117</f>
        <v>0</v>
      </c>
      <c r="N23" s="85">
        <f>Assumptions!$E$117</f>
        <v>0</v>
      </c>
      <c r="O23" s="85">
        <f>Assumptions!$E$117</f>
        <v>0</v>
      </c>
      <c r="P23" s="85">
        <f>Assumptions!$E$117</f>
        <v>0</v>
      </c>
      <c r="Q23" s="85">
        <f>Assumptions!$E$117</f>
        <v>0</v>
      </c>
      <c r="R23" s="85">
        <f>Assumptions!$E$117</f>
        <v>0</v>
      </c>
      <c r="S23" s="85">
        <f>Assumptions!$E$117</f>
        <v>0</v>
      </c>
      <c r="T23" s="85">
        <f>Assumptions!$E$117</f>
        <v>0</v>
      </c>
      <c r="U23" s="85">
        <f>Assumptions!$E$117</f>
        <v>0</v>
      </c>
      <c r="V23" s="85">
        <f>Assumptions!$E$117</f>
        <v>0</v>
      </c>
      <c r="W23" s="85">
        <f>Assumptions!$E$117</f>
        <v>0</v>
      </c>
    </row>
    <row r="24" spans="1:24" x14ac:dyDescent="0.2">
      <c r="A24" t="s">
        <v>367</v>
      </c>
      <c r="B24" s="4" t="s">
        <v>337</v>
      </c>
      <c r="C24" s="86">
        <f>Operations!C9*C22*C23/1000</f>
        <v>0</v>
      </c>
      <c r="D24" s="86">
        <f>Operations!D9*D22*D23/1000</f>
        <v>0</v>
      </c>
      <c r="E24" s="86">
        <f>Operations!E9*E22*E23/1000</f>
        <v>0</v>
      </c>
      <c r="F24" s="86">
        <f>Operations!F9*F22*F23/1000</f>
        <v>0</v>
      </c>
      <c r="G24" s="86">
        <f>Operations!G9*G22*G23/1000</f>
        <v>0</v>
      </c>
      <c r="H24" s="86">
        <f>Operations!H9*H22*H23/1000</f>
        <v>0</v>
      </c>
      <c r="I24" s="86">
        <f>Operations!I9*I22*I23/1000</f>
        <v>0</v>
      </c>
      <c r="J24" s="86">
        <f>Operations!J9*J22*J23/1000</f>
        <v>0</v>
      </c>
      <c r="K24" s="86">
        <f>Operations!K9*K22*K23/1000</f>
        <v>0</v>
      </c>
      <c r="L24" s="86">
        <f>Operations!L9*L22*L23/1000</f>
        <v>0</v>
      </c>
      <c r="M24" s="86">
        <f>Operations!M9*M22*M23/1000</f>
        <v>0</v>
      </c>
      <c r="N24" s="86">
        <f>Operations!N9*N22*N23/1000</f>
        <v>0</v>
      </c>
      <c r="O24" s="86">
        <f>Operations!O9*O22*O23/1000</f>
        <v>0</v>
      </c>
      <c r="P24" s="86">
        <f>Operations!P9*P22*P23/1000</f>
        <v>0</v>
      </c>
      <c r="Q24" s="86">
        <f>Operations!Q9*Q22*Q23/1000</f>
        <v>0</v>
      </c>
      <c r="R24" s="86">
        <f>Operations!R9*R22*R23/1000</f>
        <v>0</v>
      </c>
      <c r="S24" s="86">
        <f>Operations!S9*S22*S23/1000</f>
        <v>0</v>
      </c>
      <c r="T24" s="86">
        <f>Operations!T9*T22*T23/1000</f>
        <v>0</v>
      </c>
      <c r="U24" s="86">
        <f>Operations!U9*U22*U23/1000</f>
        <v>0</v>
      </c>
      <c r="V24" s="86">
        <f>Operations!V9*V22*V23/1000</f>
        <v>0</v>
      </c>
      <c r="W24" s="86">
        <f>Operations!W9*W22*W23/1000</f>
        <v>0</v>
      </c>
      <c r="X24" s="87">
        <f>SUM(C24:W24)</f>
        <v>0</v>
      </c>
    </row>
    <row r="25" spans="1:24" x14ac:dyDescent="0.2">
      <c r="A25" t="s">
        <v>367</v>
      </c>
      <c r="B25" s="4" t="s">
        <v>359</v>
      </c>
      <c r="C25" s="88">
        <f>C24*1000/Assumptions!$B$15</f>
        <v>0</v>
      </c>
      <c r="D25" s="88">
        <f>D24*1000/Assumptions!$B$15</f>
        <v>0</v>
      </c>
      <c r="E25" s="88">
        <f>E24*1000/Assumptions!$B$15</f>
        <v>0</v>
      </c>
      <c r="F25" s="88">
        <f>F24*1000/Assumptions!$B$15</f>
        <v>0</v>
      </c>
      <c r="G25" s="88">
        <f>G24*1000/Assumptions!$B$15</f>
        <v>0</v>
      </c>
      <c r="H25" s="88">
        <f>H24*1000/Assumptions!$B$15</f>
        <v>0</v>
      </c>
      <c r="I25" s="88">
        <f>I24*1000/Assumptions!$B$15</f>
        <v>0</v>
      </c>
      <c r="J25" s="88">
        <f>J24*1000/Assumptions!$B$15</f>
        <v>0</v>
      </c>
      <c r="K25" s="88">
        <f>K24*1000/Assumptions!$B$15</f>
        <v>0</v>
      </c>
      <c r="L25" s="88">
        <f>L24*1000/Assumptions!$B$15</f>
        <v>0</v>
      </c>
      <c r="M25" s="88">
        <f>M24*1000/Assumptions!$B$15</f>
        <v>0</v>
      </c>
      <c r="N25" s="88">
        <f>N24*1000/Assumptions!$B$15</f>
        <v>0</v>
      </c>
      <c r="O25" s="88">
        <f>O24*1000/Assumptions!$B$15</f>
        <v>0</v>
      </c>
      <c r="P25" s="88">
        <f>P24*1000/Assumptions!$B$15</f>
        <v>0</v>
      </c>
      <c r="Q25" s="88">
        <f>Q24*1000/Assumptions!$B$15</f>
        <v>0</v>
      </c>
      <c r="R25" s="88">
        <f>R24*1000/Assumptions!$B$15</f>
        <v>0</v>
      </c>
      <c r="S25" s="88">
        <f>S24*1000/Assumptions!$B$15</f>
        <v>0</v>
      </c>
      <c r="T25" s="88">
        <f>T24*1000/Assumptions!$B$15</f>
        <v>0</v>
      </c>
      <c r="U25" s="88">
        <f>U24*1000/Assumptions!$B$15</f>
        <v>0</v>
      </c>
      <c r="V25" s="88">
        <f>V24*1000/Assumptions!$B$15</f>
        <v>0</v>
      </c>
      <c r="W25" s="88">
        <f>W24*1000/Assumptions!$B$15</f>
        <v>0</v>
      </c>
      <c r="X25" s="87">
        <f>SUM(C25:W25)</f>
        <v>0</v>
      </c>
    </row>
    <row r="26" spans="1:24" x14ac:dyDescent="0.2">
      <c r="A26" t="s">
        <v>368</v>
      </c>
      <c r="B26" s="4" t="s">
        <v>339</v>
      </c>
      <c r="C26" s="40">
        <f>Assumptions!$B$117</f>
        <v>1050</v>
      </c>
      <c r="D26" s="88">
        <f>C26*(1+Assumptions!$C$117)</f>
        <v>1071</v>
      </c>
      <c r="E26" s="88">
        <f>D26*(1+Assumptions!$C$117)</f>
        <v>1092.42</v>
      </c>
      <c r="F26" s="88">
        <f>E26*(1+Assumptions!$C$117)</f>
        <v>1114.2684000000002</v>
      </c>
      <c r="G26" s="88">
        <f>F26*(1+Assumptions!$C$117)</f>
        <v>1136.5537680000002</v>
      </c>
      <c r="H26" s="88">
        <f>G26*(1+Assumptions!$C$117)</f>
        <v>1159.2848433600002</v>
      </c>
      <c r="I26" s="88">
        <f>H26*(1+Assumptions!$C$117)</f>
        <v>1182.4705402272002</v>
      </c>
      <c r="J26" s="88">
        <f>I26*(1+Assumptions!$C$117)</f>
        <v>1206.1199510317442</v>
      </c>
      <c r="K26" s="88">
        <f>J26*(1+Assumptions!$C$117)</f>
        <v>1230.2423500523792</v>
      </c>
      <c r="L26" s="88">
        <f>K26*(1+Assumptions!$C$117)</f>
        <v>1254.8471970534267</v>
      </c>
      <c r="M26" s="88">
        <f>L26*(1+Assumptions!$C$117)</f>
        <v>1279.9441409944952</v>
      </c>
      <c r="N26" s="88">
        <f>M26*(1+Assumptions!$C$117)</f>
        <v>1305.5430238143852</v>
      </c>
      <c r="O26" s="88">
        <f>N26*(1+Assumptions!$C$117)</f>
        <v>1331.653884290673</v>
      </c>
      <c r="P26" s="88">
        <f>O26*(1+Assumptions!$C$117)</f>
        <v>1358.2869619764865</v>
      </c>
      <c r="Q26" s="88">
        <f>P26*(1+Assumptions!$C$117)</f>
        <v>1385.4527012160163</v>
      </c>
      <c r="R26" s="88">
        <f>Q26*(1+Assumptions!$C$117)</f>
        <v>1413.1617552403366</v>
      </c>
      <c r="S26" s="88">
        <f>R26*(1+Assumptions!$C$117)</f>
        <v>1441.4249903451432</v>
      </c>
      <c r="T26" s="88">
        <f>S26*(1+Assumptions!$C$117)</f>
        <v>1470.2534901520462</v>
      </c>
      <c r="U26" s="88">
        <f>T26*(1+Assumptions!$C$117)</f>
        <v>1499.6585599550872</v>
      </c>
      <c r="V26" s="88">
        <f>U26*(1+Assumptions!$C$117)</f>
        <v>1529.6517311541891</v>
      </c>
      <c r="W26" s="88">
        <f>V26*(1+Assumptions!$C$117)</f>
        <v>1560.244765777273</v>
      </c>
    </row>
    <row r="27" spans="1:24" x14ac:dyDescent="0.2">
      <c r="A27" s="68" t="s">
        <v>369</v>
      </c>
      <c r="B27" s="70" t="s">
        <v>88</v>
      </c>
      <c r="C27" s="89">
        <f>C25*C26*Operations!C15</f>
        <v>0</v>
      </c>
      <c r="D27" s="89">
        <f>D25*D26*Operations!D15</f>
        <v>0</v>
      </c>
      <c r="E27" s="89">
        <f>E25*E26*Operations!E15</f>
        <v>0</v>
      </c>
      <c r="F27" s="89">
        <f>F25*F26*Operations!F15</f>
        <v>0</v>
      </c>
      <c r="G27" s="89">
        <f>G25*G26*Operations!G15</f>
        <v>0</v>
      </c>
      <c r="H27" s="89">
        <f>H25*H26*Operations!H15</f>
        <v>0</v>
      </c>
      <c r="I27" s="89">
        <f>I25*I26*Operations!I15</f>
        <v>0</v>
      </c>
      <c r="J27" s="89">
        <f>J25*J26*Operations!J15</f>
        <v>0</v>
      </c>
      <c r="K27" s="89">
        <f>K25*K26*Operations!K15</f>
        <v>0</v>
      </c>
      <c r="L27" s="89">
        <f>L25*L26*Operations!L15</f>
        <v>0</v>
      </c>
      <c r="M27" s="89">
        <f>M25*M26*Operations!M15</f>
        <v>0</v>
      </c>
      <c r="N27" s="89">
        <f>N25*N26*Operations!N15</f>
        <v>0</v>
      </c>
      <c r="O27" s="89">
        <f>O25*O26*Operations!O15</f>
        <v>0</v>
      </c>
      <c r="P27" s="89">
        <f>P25*P26*Operations!P15</f>
        <v>0</v>
      </c>
      <c r="Q27" s="89">
        <f>Q25*Q26*Operations!Q15</f>
        <v>0</v>
      </c>
      <c r="R27" s="89">
        <f>R25*R26*Operations!R15</f>
        <v>0</v>
      </c>
      <c r="S27" s="89">
        <f>S25*S26*Operations!S15</f>
        <v>0</v>
      </c>
      <c r="T27" s="89">
        <f>T25*T26*Operations!T15</f>
        <v>0</v>
      </c>
      <c r="U27" s="89">
        <f>U25*U26*Operations!U15</f>
        <v>0</v>
      </c>
      <c r="V27" s="89">
        <f>V25*V26*Operations!V15</f>
        <v>0</v>
      </c>
      <c r="W27" s="89">
        <f>W25*W26*Operations!W15</f>
        <v>0</v>
      </c>
      <c r="X27" s="90">
        <f>SUM(C27:W27)</f>
        <v>0</v>
      </c>
    </row>
    <row r="29" spans="1:24" ht="16" x14ac:dyDescent="0.2">
      <c r="A29" s="82" t="s">
        <v>370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spans="1:24" x14ac:dyDescent="0.2">
      <c r="A30" t="s">
        <v>355</v>
      </c>
      <c r="B30" s="4" t="s">
        <v>356</v>
      </c>
      <c r="C30" s="84">
        <f>Assumptions!$D$118</f>
        <v>0</v>
      </c>
      <c r="D30" s="84">
        <f>Assumptions!$D$118</f>
        <v>0</v>
      </c>
      <c r="E30" s="84">
        <f>Assumptions!$D$118</f>
        <v>0</v>
      </c>
      <c r="F30" s="84">
        <f>Assumptions!$D$118</f>
        <v>0</v>
      </c>
      <c r="G30" s="84">
        <f>Assumptions!$D$118</f>
        <v>0</v>
      </c>
      <c r="H30" s="84">
        <f>Assumptions!$D$118</f>
        <v>0</v>
      </c>
      <c r="I30" s="84">
        <f>Assumptions!$D$118</f>
        <v>0</v>
      </c>
      <c r="J30" s="84">
        <f>Assumptions!$D$118</f>
        <v>0</v>
      </c>
      <c r="K30" s="84">
        <f>Assumptions!$D$118</f>
        <v>0</v>
      </c>
      <c r="L30" s="84">
        <f>Assumptions!$D$118</f>
        <v>0</v>
      </c>
      <c r="M30" s="84">
        <f>Assumptions!$D$118</f>
        <v>0</v>
      </c>
      <c r="N30" s="84">
        <f>Assumptions!$D$118</f>
        <v>0</v>
      </c>
      <c r="O30" s="84">
        <f>Assumptions!$D$118</f>
        <v>0</v>
      </c>
      <c r="P30" s="84">
        <f>Assumptions!$D$118</f>
        <v>0</v>
      </c>
      <c r="Q30" s="84">
        <f>Assumptions!$D$118</f>
        <v>0</v>
      </c>
      <c r="R30" s="84">
        <f>Assumptions!$D$118</f>
        <v>0</v>
      </c>
      <c r="S30" s="84">
        <f>Assumptions!$D$118</f>
        <v>0</v>
      </c>
      <c r="T30" s="84">
        <f>Assumptions!$D$118</f>
        <v>0</v>
      </c>
      <c r="U30" s="84">
        <f>Assumptions!$D$118</f>
        <v>0</v>
      </c>
      <c r="V30" s="84">
        <f>Assumptions!$D$118</f>
        <v>0</v>
      </c>
      <c r="W30" s="84">
        <f>Assumptions!$D$118</f>
        <v>0</v>
      </c>
    </row>
    <row r="31" spans="1:24" x14ac:dyDescent="0.2">
      <c r="A31" t="s">
        <v>357</v>
      </c>
      <c r="B31" s="4" t="s">
        <v>117</v>
      </c>
      <c r="C31" s="85">
        <f>Assumptions!$E$118</f>
        <v>0</v>
      </c>
      <c r="D31" s="85">
        <f>Assumptions!$E$118</f>
        <v>0</v>
      </c>
      <c r="E31" s="85">
        <f>Assumptions!$E$118</f>
        <v>0</v>
      </c>
      <c r="F31" s="85">
        <f>Assumptions!$E$118</f>
        <v>0</v>
      </c>
      <c r="G31" s="85">
        <f>Assumptions!$E$118</f>
        <v>0</v>
      </c>
      <c r="H31" s="85">
        <f>Assumptions!$E$118</f>
        <v>0</v>
      </c>
      <c r="I31" s="85">
        <f>Assumptions!$E$118</f>
        <v>0</v>
      </c>
      <c r="J31" s="85">
        <f>Assumptions!$E$118</f>
        <v>0</v>
      </c>
      <c r="K31" s="85">
        <f>Assumptions!$E$118</f>
        <v>0</v>
      </c>
      <c r="L31" s="85">
        <f>Assumptions!$E$118</f>
        <v>0</v>
      </c>
      <c r="M31" s="85">
        <f>Assumptions!$E$118</f>
        <v>0</v>
      </c>
      <c r="N31" s="85">
        <f>Assumptions!$E$118</f>
        <v>0</v>
      </c>
      <c r="O31" s="85">
        <f>Assumptions!$E$118</f>
        <v>0</v>
      </c>
      <c r="P31" s="85">
        <f>Assumptions!$E$118</f>
        <v>0</v>
      </c>
      <c r="Q31" s="85">
        <f>Assumptions!$E$118</f>
        <v>0</v>
      </c>
      <c r="R31" s="85">
        <f>Assumptions!$E$118</f>
        <v>0</v>
      </c>
      <c r="S31" s="85">
        <f>Assumptions!$E$118</f>
        <v>0</v>
      </c>
      <c r="T31" s="85">
        <f>Assumptions!$E$118</f>
        <v>0</v>
      </c>
      <c r="U31" s="85">
        <f>Assumptions!$E$118</f>
        <v>0</v>
      </c>
      <c r="V31" s="85">
        <f>Assumptions!$E$118</f>
        <v>0</v>
      </c>
      <c r="W31" s="85">
        <f>Assumptions!$E$118</f>
        <v>0</v>
      </c>
    </row>
    <row r="32" spans="1:24" x14ac:dyDescent="0.2">
      <c r="A32" t="s">
        <v>371</v>
      </c>
      <c r="B32" s="4" t="s">
        <v>337</v>
      </c>
      <c r="C32" s="86">
        <f>Operations!C9*C30*C31/1000</f>
        <v>0</v>
      </c>
      <c r="D32" s="86">
        <f>Operations!D9*D30*D31/1000</f>
        <v>0</v>
      </c>
      <c r="E32" s="86">
        <f>Operations!E9*E30*E31/1000</f>
        <v>0</v>
      </c>
      <c r="F32" s="86">
        <f>Operations!F9*F30*F31/1000</f>
        <v>0</v>
      </c>
      <c r="G32" s="86">
        <f>Operations!G9*G30*G31/1000</f>
        <v>0</v>
      </c>
      <c r="H32" s="86">
        <f>Operations!H9*H30*H31/1000</f>
        <v>0</v>
      </c>
      <c r="I32" s="86">
        <f>Operations!I9*I30*I31/1000</f>
        <v>0</v>
      </c>
      <c r="J32" s="86">
        <f>Operations!J9*J30*J31/1000</f>
        <v>0</v>
      </c>
      <c r="K32" s="86">
        <f>Operations!K9*K30*K31/1000</f>
        <v>0</v>
      </c>
      <c r="L32" s="86">
        <f>Operations!L9*L30*L31/1000</f>
        <v>0</v>
      </c>
      <c r="M32" s="86">
        <f>Operations!M9*M30*M31/1000</f>
        <v>0</v>
      </c>
      <c r="N32" s="86">
        <f>Operations!N9*N30*N31/1000</f>
        <v>0</v>
      </c>
      <c r="O32" s="86">
        <f>Operations!O9*O30*O31/1000</f>
        <v>0</v>
      </c>
      <c r="P32" s="86">
        <f>Operations!P9*P30*P31/1000</f>
        <v>0</v>
      </c>
      <c r="Q32" s="86">
        <f>Operations!Q9*Q30*Q31/1000</f>
        <v>0</v>
      </c>
      <c r="R32" s="86">
        <f>Operations!R9*R30*R31/1000</f>
        <v>0</v>
      </c>
      <c r="S32" s="86">
        <f>Operations!S9*S30*S31/1000</f>
        <v>0</v>
      </c>
      <c r="T32" s="86">
        <f>Operations!T9*T30*T31/1000</f>
        <v>0</v>
      </c>
      <c r="U32" s="86">
        <f>Operations!U9*U30*U31/1000</f>
        <v>0</v>
      </c>
      <c r="V32" s="86">
        <f>Operations!V9*V30*V31/1000</f>
        <v>0</v>
      </c>
      <c r="W32" s="86">
        <f>Operations!W9*W30*W31/1000</f>
        <v>0</v>
      </c>
      <c r="X32" s="87">
        <f>SUM(C32:W32)</f>
        <v>0</v>
      </c>
    </row>
    <row r="33" spans="1:24" x14ac:dyDescent="0.2">
      <c r="A33" t="s">
        <v>371</v>
      </c>
      <c r="B33" s="4" t="s">
        <v>359</v>
      </c>
      <c r="C33" s="88">
        <f>C32*1000/Assumptions!$B$15</f>
        <v>0</v>
      </c>
      <c r="D33" s="88">
        <f>D32*1000/Assumptions!$B$15</f>
        <v>0</v>
      </c>
      <c r="E33" s="88">
        <f>E32*1000/Assumptions!$B$15</f>
        <v>0</v>
      </c>
      <c r="F33" s="88">
        <f>F32*1000/Assumptions!$B$15</f>
        <v>0</v>
      </c>
      <c r="G33" s="88">
        <f>G32*1000/Assumptions!$B$15</f>
        <v>0</v>
      </c>
      <c r="H33" s="88">
        <f>H32*1000/Assumptions!$B$15</f>
        <v>0</v>
      </c>
      <c r="I33" s="88">
        <f>I32*1000/Assumptions!$B$15</f>
        <v>0</v>
      </c>
      <c r="J33" s="88">
        <f>J32*1000/Assumptions!$B$15</f>
        <v>0</v>
      </c>
      <c r="K33" s="88">
        <f>K32*1000/Assumptions!$B$15</f>
        <v>0</v>
      </c>
      <c r="L33" s="88">
        <f>L32*1000/Assumptions!$B$15</f>
        <v>0</v>
      </c>
      <c r="M33" s="88">
        <f>M32*1000/Assumptions!$B$15</f>
        <v>0</v>
      </c>
      <c r="N33" s="88">
        <f>N32*1000/Assumptions!$B$15</f>
        <v>0</v>
      </c>
      <c r="O33" s="88">
        <f>O32*1000/Assumptions!$B$15</f>
        <v>0</v>
      </c>
      <c r="P33" s="88">
        <f>P32*1000/Assumptions!$B$15</f>
        <v>0</v>
      </c>
      <c r="Q33" s="88">
        <f>Q32*1000/Assumptions!$B$15</f>
        <v>0</v>
      </c>
      <c r="R33" s="88">
        <f>R32*1000/Assumptions!$B$15</f>
        <v>0</v>
      </c>
      <c r="S33" s="88">
        <f>S32*1000/Assumptions!$B$15</f>
        <v>0</v>
      </c>
      <c r="T33" s="88">
        <f>T32*1000/Assumptions!$B$15</f>
        <v>0</v>
      </c>
      <c r="U33" s="88">
        <f>U32*1000/Assumptions!$B$15</f>
        <v>0</v>
      </c>
      <c r="V33" s="88">
        <f>V32*1000/Assumptions!$B$15</f>
        <v>0</v>
      </c>
      <c r="W33" s="88">
        <f>W32*1000/Assumptions!$B$15</f>
        <v>0</v>
      </c>
      <c r="X33" s="87">
        <f>SUM(C33:W33)</f>
        <v>0</v>
      </c>
    </row>
    <row r="34" spans="1:24" x14ac:dyDescent="0.2">
      <c r="A34" t="s">
        <v>372</v>
      </c>
      <c r="B34" s="4" t="s">
        <v>339</v>
      </c>
      <c r="C34" s="40">
        <f>Assumptions!$B$118</f>
        <v>4800</v>
      </c>
      <c r="D34" s="88">
        <f>C34*(1+Assumptions!$C$118)</f>
        <v>4896</v>
      </c>
      <c r="E34" s="88">
        <f>D34*(1+Assumptions!$C$118)</f>
        <v>4993.92</v>
      </c>
      <c r="F34" s="88">
        <f>E34*(1+Assumptions!$C$118)</f>
        <v>5093.7984000000006</v>
      </c>
      <c r="G34" s="88">
        <f>F34*(1+Assumptions!$C$118)</f>
        <v>5195.6743680000009</v>
      </c>
      <c r="H34" s="88">
        <f>G34*(1+Assumptions!$C$118)</f>
        <v>5299.5878553600014</v>
      </c>
      <c r="I34" s="88">
        <f>H34*(1+Assumptions!$C$118)</f>
        <v>5405.5796124672015</v>
      </c>
      <c r="J34" s="88">
        <f>I34*(1+Assumptions!$C$118)</f>
        <v>5513.6912047165461</v>
      </c>
      <c r="K34" s="88">
        <f>J34*(1+Assumptions!$C$118)</f>
        <v>5623.9650288108769</v>
      </c>
      <c r="L34" s="88">
        <f>K34*(1+Assumptions!$C$118)</f>
        <v>5736.4443293870945</v>
      </c>
      <c r="M34" s="88">
        <f>L34*(1+Assumptions!$C$118)</f>
        <v>5851.1732159748362</v>
      </c>
      <c r="N34" s="88">
        <f>M34*(1+Assumptions!$C$118)</f>
        <v>5968.1966802943334</v>
      </c>
      <c r="O34" s="88">
        <f>N34*(1+Assumptions!$C$118)</f>
        <v>6087.5606139002202</v>
      </c>
      <c r="P34" s="88">
        <f>O34*(1+Assumptions!$C$118)</f>
        <v>6209.3118261782247</v>
      </c>
      <c r="Q34" s="88">
        <f>P34*(1+Assumptions!$C$118)</f>
        <v>6333.4980627017894</v>
      </c>
      <c r="R34" s="88">
        <f>Q34*(1+Assumptions!$C$118)</f>
        <v>6460.1680239558254</v>
      </c>
      <c r="S34" s="88">
        <f>R34*(1+Assumptions!$C$118)</f>
        <v>6589.3713844349422</v>
      </c>
      <c r="T34" s="88">
        <f>S34*(1+Assumptions!$C$118)</f>
        <v>6721.1588121236409</v>
      </c>
      <c r="U34" s="88">
        <f>T34*(1+Assumptions!$C$118)</f>
        <v>6855.5819883661143</v>
      </c>
      <c r="V34" s="88">
        <f>U34*(1+Assumptions!$C$118)</f>
        <v>6992.6936281334365</v>
      </c>
      <c r="W34" s="88">
        <f>V34*(1+Assumptions!$C$118)</f>
        <v>7132.5475006961051</v>
      </c>
    </row>
    <row r="35" spans="1:24" x14ac:dyDescent="0.2">
      <c r="A35" s="68" t="s">
        <v>373</v>
      </c>
      <c r="B35" s="70" t="s">
        <v>88</v>
      </c>
      <c r="C35" s="89">
        <f>C33*C34*Operations!C15</f>
        <v>0</v>
      </c>
      <c r="D35" s="89">
        <f>D33*D34*Operations!D15</f>
        <v>0</v>
      </c>
      <c r="E35" s="89">
        <f>E33*E34*Operations!E15</f>
        <v>0</v>
      </c>
      <c r="F35" s="89">
        <f>F33*F34*Operations!F15</f>
        <v>0</v>
      </c>
      <c r="G35" s="89">
        <f>G33*G34*Operations!G15</f>
        <v>0</v>
      </c>
      <c r="H35" s="89">
        <f>H33*H34*Operations!H15</f>
        <v>0</v>
      </c>
      <c r="I35" s="89">
        <f>I33*I34*Operations!I15</f>
        <v>0</v>
      </c>
      <c r="J35" s="89">
        <f>J33*J34*Operations!J15</f>
        <v>0</v>
      </c>
      <c r="K35" s="89">
        <f>K33*K34*Operations!K15</f>
        <v>0</v>
      </c>
      <c r="L35" s="89">
        <f>L33*L34*Operations!L15</f>
        <v>0</v>
      </c>
      <c r="M35" s="89">
        <f>M33*M34*Operations!M15</f>
        <v>0</v>
      </c>
      <c r="N35" s="89">
        <f>N33*N34*Operations!N15</f>
        <v>0</v>
      </c>
      <c r="O35" s="89">
        <f>O33*O34*Operations!O15</f>
        <v>0</v>
      </c>
      <c r="P35" s="89">
        <f>P33*P34*Operations!P15</f>
        <v>0</v>
      </c>
      <c r="Q35" s="89">
        <f>Q33*Q34*Operations!Q15</f>
        <v>0</v>
      </c>
      <c r="R35" s="89">
        <f>R33*R34*Operations!R15</f>
        <v>0</v>
      </c>
      <c r="S35" s="89">
        <f>S33*S34*Operations!S15</f>
        <v>0</v>
      </c>
      <c r="T35" s="89">
        <f>T33*T34*Operations!T15</f>
        <v>0</v>
      </c>
      <c r="U35" s="89">
        <f>U33*U34*Operations!U15</f>
        <v>0</v>
      </c>
      <c r="V35" s="89">
        <f>V33*V34*Operations!V15</f>
        <v>0</v>
      </c>
      <c r="W35" s="89">
        <f>W33*W34*Operations!W15</f>
        <v>0</v>
      </c>
      <c r="X35" s="90">
        <f>SUM(C35:W35)</f>
        <v>0</v>
      </c>
    </row>
    <row r="37" spans="1:24" x14ac:dyDescent="0.2">
      <c r="A37" s="68" t="s">
        <v>374</v>
      </c>
      <c r="B37" s="70" t="s">
        <v>88</v>
      </c>
      <c r="C37" s="90">
        <f t="shared" ref="C37:W37" si="0">C11+C19+C27+C35</f>
        <v>0</v>
      </c>
      <c r="D37" s="90">
        <f t="shared" si="0"/>
        <v>30931790.634494513</v>
      </c>
      <c r="E37" s="90">
        <f t="shared" si="0"/>
        <v>64284854.352314055</v>
      </c>
      <c r="F37" s="90">
        <f t="shared" si="0"/>
        <v>84422084.97817643</v>
      </c>
      <c r="G37" s="90">
        <f t="shared" si="0"/>
        <v>88693842.478072152</v>
      </c>
      <c r="H37" s="90">
        <f t="shared" si="0"/>
        <v>65775353.581738338</v>
      </c>
      <c r="I37" s="90">
        <f t="shared" si="0"/>
        <v>97896747.503380239</v>
      </c>
      <c r="J37" s="90">
        <f t="shared" si="0"/>
        <v>102850322.92705129</v>
      </c>
      <c r="K37" s="90">
        <f t="shared" si="0"/>
        <v>108054549.26716007</v>
      </c>
      <c r="L37" s="90">
        <f t="shared" si="0"/>
        <v>113522109.46007839</v>
      </c>
      <c r="M37" s="90">
        <f t="shared" si="0"/>
        <v>24554832.276214957</v>
      </c>
      <c r="N37" s="90">
        <f t="shared" si="0"/>
        <v>0</v>
      </c>
      <c r="O37" s="90">
        <f t="shared" si="0"/>
        <v>0</v>
      </c>
      <c r="P37" s="90">
        <f t="shared" si="0"/>
        <v>0</v>
      </c>
      <c r="Q37" s="90">
        <f t="shared" si="0"/>
        <v>0</v>
      </c>
      <c r="R37" s="90">
        <f t="shared" si="0"/>
        <v>0</v>
      </c>
      <c r="S37" s="90">
        <f t="shared" si="0"/>
        <v>0</v>
      </c>
      <c r="T37" s="90">
        <f t="shared" si="0"/>
        <v>0</v>
      </c>
      <c r="U37" s="90">
        <f t="shared" si="0"/>
        <v>0</v>
      </c>
      <c r="V37" s="90">
        <f t="shared" si="0"/>
        <v>0</v>
      </c>
      <c r="W37" s="90">
        <f t="shared" si="0"/>
        <v>0</v>
      </c>
      <c r="X37" s="90">
        <f>SUM(C37:W37)</f>
        <v>780986487.45868051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61"/>
  <sheetViews>
    <sheetView zoomScaleNormal="100" workbookViewId="0">
      <pane xSplit="2" ySplit="3" topLeftCell="C8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6" customWidth="1"/>
    <col min="2" max="2" width="12" customWidth="1"/>
    <col min="3" max="24" width="15" customWidth="1"/>
  </cols>
  <sheetData>
    <row r="1" spans="1:24" ht="18" x14ac:dyDescent="0.2">
      <c r="A1" s="80" t="s">
        <v>375</v>
      </c>
    </row>
    <row r="2" spans="1:24" x14ac:dyDescent="0.2">
      <c r="A2" s="50" t="s">
        <v>376</v>
      </c>
    </row>
    <row r="3" spans="1:24" x14ac:dyDescent="0.2">
      <c r="C3" s="81" t="s">
        <v>304</v>
      </c>
      <c r="D3" s="81" t="s">
        <v>305</v>
      </c>
      <c r="E3" s="81" t="s">
        <v>306</v>
      </c>
      <c r="F3" s="81" t="s">
        <v>307</v>
      </c>
      <c r="G3" s="81" t="s">
        <v>308</v>
      </c>
      <c r="H3" s="81" t="s">
        <v>309</v>
      </c>
      <c r="I3" s="81" t="s">
        <v>310</v>
      </c>
      <c r="J3" s="81" t="s">
        <v>311</v>
      </c>
      <c r="K3" s="81" t="s">
        <v>312</v>
      </c>
      <c r="L3" s="81" t="s">
        <v>313</v>
      </c>
      <c r="M3" s="81" t="s">
        <v>314</v>
      </c>
      <c r="N3" s="81" t="s">
        <v>315</v>
      </c>
      <c r="O3" s="81" t="s">
        <v>316</v>
      </c>
      <c r="P3" s="81" t="s">
        <v>317</v>
      </c>
      <c r="Q3" s="81" t="s">
        <v>318</v>
      </c>
      <c r="R3" s="81" t="s">
        <v>319</v>
      </c>
      <c r="S3" s="81" t="s">
        <v>320</v>
      </c>
      <c r="T3" s="81" t="s">
        <v>321</v>
      </c>
      <c r="U3" s="81" t="s">
        <v>322</v>
      </c>
      <c r="V3" s="81" t="s">
        <v>323</v>
      </c>
      <c r="W3" s="81" t="s">
        <v>324</v>
      </c>
      <c r="X3" s="81" t="s">
        <v>124</v>
      </c>
    </row>
    <row r="5" spans="1:24" ht="16" x14ac:dyDescent="0.2">
      <c r="A5" s="91" t="s">
        <v>377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</row>
    <row r="6" spans="1:24" x14ac:dyDescent="0.2">
      <c r="A6" t="s">
        <v>355</v>
      </c>
      <c r="B6" s="4" t="s">
        <v>378</v>
      </c>
      <c r="C6" s="93">
        <f>Assumptions!$D$123</f>
        <v>1.5E-3</v>
      </c>
      <c r="D6" s="93">
        <f>Assumptions!$D$123</f>
        <v>1.5E-3</v>
      </c>
      <c r="E6" s="93">
        <f>Assumptions!$D$123</f>
        <v>1.5E-3</v>
      </c>
      <c r="F6" s="93">
        <f>Assumptions!$D$123</f>
        <v>1.5E-3</v>
      </c>
      <c r="G6" s="93">
        <f>Assumptions!$D$123</f>
        <v>1.5E-3</v>
      </c>
      <c r="H6" s="93">
        <f>Assumptions!$D$123</f>
        <v>1.5E-3</v>
      </c>
      <c r="I6" s="93">
        <f>Assumptions!$D$123</f>
        <v>1.5E-3</v>
      </c>
      <c r="J6" s="93">
        <f>Assumptions!$D$123</f>
        <v>1.5E-3</v>
      </c>
      <c r="K6" s="93">
        <f>Assumptions!$D$123</f>
        <v>1.5E-3</v>
      </c>
      <c r="L6" s="93">
        <f>Assumptions!$D$123</f>
        <v>1.5E-3</v>
      </c>
      <c r="M6" s="93">
        <f>Assumptions!$D$123</f>
        <v>1.5E-3</v>
      </c>
      <c r="N6" s="93">
        <f>Assumptions!$D$123</f>
        <v>1.5E-3</v>
      </c>
      <c r="O6" s="93">
        <f>Assumptions!$D$123</f>
        <v>1.5E-3</v>
      </c>
      <c r="P6" s="93">
        <f>Assumptions!$D$123</f>
        <v>1.5E-3</v>
      </c>
      <c r="Q6" s="93">
        <f>Assumptions!$D$123</f>
        <v>1.5E-3</v>
      </c>
      <c r="R6" s="93">
        <f>Assumptions!$D$123</f>
        <v>1.5E-3</v>
      </c>
      <c r="S6" s="93">
        <f>Assumptions!$D$123</f>
        <v>1.5E-3</v>
      </c>
      <c r="T6" s="93">
        <f>Assumptions!$D$123</f>
        <v>1.5E-3</v>
      </c>
      <c r="U6" s="93">
        <f>Assumptions!$D$123</f>
        <v>1.5E-3</v>
      </c>
      <c r="V6" s="93">
        <f>Assumptions!$D$123</f>
        <v>1.5E-3</v>
      </c>
      <c r="W6" s="93">
        <f>Assumptions!$D$123</f>
        <v>1.5E-3</v>
      </c>
    </row>
    <row r="7" spans="1:24" x14ac:dyDescent="0.2">
      <c r="A7" t="s">
        <v>357</v>
      </c>
      <c r="B7" s="4" t="s">
        <v>117</v>
      </c>
      <c r="C7" s="85">
        <f>Assumptions!$E$123</f>
        <v>0.85</v>
      </c>
      <c r="D7" s="85">
        <f>Assumptions!$E$123</f>
        <v>0.85</v>
      </c>
      <c r="E7" s="85">
        <f>Assumptions!$E$123</f>
        <v>0.85</v>
      </c>
      <c r="F7" s="85">
        <f>Assumptions!$E$123</f>
        <v>0.85</v>
      </c>
      <c r="G7" s="85">
        <f>Assumptions!$E$123</f>
        <v>0.85</v>
      </c>
      <c r="H7" s="85">
        <f>Assumptions!$E$123</f>
        <v>0.85</v>
      </c>
      <c r="I7" s="85">
        <f>Assumptions!$E$123</f>
        <v>0.85</v>
      </c>
      <c r="J7" s="85">
        <f>Assumptions!$E$123</f>
        <v>0.85</v>
      </c>
      <c r="K7" s="85">
        <f>Assumptions!$E$123</f>
        <v>0.85</v>
      </c>
      <c r="L7" s="85">
        <f>Assumptions!$E$123</f>
        <v>0.85</v>
      </c>
      <c r="M7" s="85">
        <f>Assumptions!$E$123</f>
        <v>0.85</v>
      </c>
      <c r="N7" s="85">
        <f>Assumptions!$E$123</f>
        <v>0.85</v>
      </c>
      <c r="O7" s="85">
        <f>Assumptions!$E$123</f>
        <v>0.85</v>
      </c>
      <c r="P7" s="85">
        <f>Assumptions!$E$123</f>
        <v>0.85</v>
      </c>
      <c r="Q7" s="85">
        <f>Assumptions!$E$123</f>
        <v>0.85</v>
      </c>
      <c r="R7" s="85">
        <f>Assumptions!$E$123</f>
        <v>0.85</v>
      </c>
      <c r="S7" s="85">
        <f>Assumptions!$E$123</f>
        <v>0.85</v>
      </c>
      <c r="T7" s="85">
        <f>Assumptions!$E$123</f>
        <v>0.85</v>
      </c>
      <c r="U7" s="85">
        <f>Assumptions!$E$123</f>
        <v>0.85</v>
      </c>
      <c r="V7" s="85">
        <f>Assumptions!$E$123</f>
        <v>0.85</v>
      </c>
      <c r="W7" s="85">
        <f>Assumptions!$E$123</f>
        <v>0.85</v>
      </c>
    </row>
    <row r="8" spans="1:24" x14ac:dyDescent="0.2">
      <c r="A8" t="s">
        <v>379</v>
      </c>
      <c r="B8" s="4" t="s">
        <v>380</v>
      </c>
      <c r="C8" s="86">
        <f>Operations!C9*C6*C7</f>
        <v>0</v>
      </c>
      <c r="D8" s="86">
        <f>Operations!D9*D6*D7</f>
        <v>1753.125</v>
      </c>
      <c r="E8" s="86">
        <f>Operations!E9*E6*E7</f>
        <v>3468</v>
      </c>
      <c r="F8" s="86">
        <f>Operations!F9*F6*F7</f>
        <v>4335</v>
      </c>
      <c r="G8" s="86">
        <f>Operations!G9*G6*G7</f>
        <v>4335</v>
      </c>
      <c r="H8" s="86">
        <f>Operations!H9*H6*H7</f>
        <v>3060</v>
      </c>
      <c r="I8" s="86">
        <f>Operations!I9*I6*I7</f>
        <v>4335</v>
      </c>
      <c r="J8" s="86">
        <f>Operations!J9*J6*J7</f>
        <v>4335</v>
      </c>
      <c r="K8" s="86">
        <f>Operations!K9*K6*K7</f>
        <v>4335</v>
      </c>
      <c r="L8" s="86">
        <f>Operations!L9*L6*L7</f>
        <v>4335</v>
      </c>
      <c r="M8" s="86">
        <f>Operations!M9*M6*M7</f>
        <v>892.5</v>
      </c>
      <c r="N8" s="86">
        <f>Operations!N9*N6*N7</f>
        <v>0</v>
      </c>
      <c r="O8" s="86">
        <f>Operations!O9*O6*O7</f>
        <v>0</v>
      </c>
      <c r="P8" s="86">
        <f>Operations!P9*P6*P7</f>
        <v>0</v>
      </c>
      <c r="Q8" s="86">
        <f>Operations!Q9*Q6*Q7</f>
        <v>0</v>
      </c>
      <c r="R8" s="86">
        <f>Operations!R9*R6*R7</f>
        <v>0</v>
      </c>
      <c r="S8" s="86">
        <f>Operations!S9*S6*S7</f>
        <v>0</v>
      </c>
      <c r="T8" s="86">
        <f>Operations!T9*T6*T7</f>
        <v>0</v>
      </c>
      <c r="U8" s="86">
        <f>Operations!U9*U6*U7</f>
        <v>0</v>
      </c>
      <c r="V8" s="86">
        <f>Operations!V9*V6*V7</f>
        <v>0</v>
      </c>
      <c r="W8" s="86">
        <f>Operations!W9*W6*W7</f>
        <v>0</v>
      </c>
      <c r="X8" s="87">
        <f>SUM(C8:W8)</f>
        <v>35183.625</v>
      </c>
    </row>
    <row r="9" spans="1:24" x14ac:dyDescent="0.2">
      <c r="A9" t="s">
        <v>381</v>
      </c>
      <c r="B9" s="4" t="s">
        <v>240</v>
      </c>
      <c r="C9" s="40">
        <f>Assumptions!$B$123</f>
        <v>9200</v>
      </c>
      <c r="D9" s="88">
        <f>C9*(1+Assumptions!$C$123)</f>
        <v>9384</v>
      </c>
      <c r="E9" s="88">
        <f>D9*(1+Assumptions!$C$123)</f>
        <v>9571.68</v>
      </c>
      <c r="F9" s="88">
        <f>E9*(1+Assumptions!$C$123)</f>
        <v>9763.1136000000006</v>
      </c>
      <c r="G9" s="88">
        <f>F9*(1+Assumptions!$C$123)</f>
        <v>9958.3758720000005</v>
      </c>
      <c r="H9" s="88">
        <f>G9*(1+Assumptions!$C$123)</f>
        <v>10157.543389440001</v>
      </c>
      <c r="I9" s="88">
        <f>H9*(1+Assumptions!$C$123)</f>
        <v>10360.694257228801</v>
      </c>
      <c r="J9" s="88">
        <f>I9*(1+Assumptions!$C$123)</f>
        <v>10567.908142373377</v>
      </c>
      <c r="K9" s="88">
        <f>J9*(1+Assumptions!$C$123)</f>
        <v>10779.266305220845</v>
      </c>
      <c r="L9" s="88">
        <f>K9*(1+Assumptions!$C$123)</f>
        <v>10994.851631325262</v>
      </c>
      <c r="M9" s="88">
        <f>L9*(1+Assumptions!$C$123)</f>
        <v>11214.748663951768</v>
      </c>
      <c r="N9" s="88">
        <f>M9*(1+Assumptions!$C$123)</f>
        <v>11439.043637230803</v>
      </c>
      <c r="O9" s="88">
        <f>N9*(1+Assumptions!$C$123)</f>
        <v>11667.824509975419</v>
      </c>
      <c r="P9" s="88">
        <f>O9*(1+Assumptions!$C$123)</f>
        <v>11901.181000174927</v>
      </c>
      <c r="Q9" s="88">
        <f>P9*(1+Assumptions!$C$123)</f>
        <v>12139.204620178425</v>
      </c>
      <c r="R9" s="88">
        <f>Q9*(1+Assumptions!$C$123)</f>
        <v>12381.988712581993</v>
      </c>
      <c r="S9" s="88">
        <f>R9*(1+Assumptions!$C$123)</f>
        <v>12629.628486833633</v>
      </c>
      <c r="T9" s="88">
        <f>S9*(1+Assumptions!$C$123)</f>
        <v>12882.221056570306</v>
      </c>
      <c r="U9" s="88">
        <f>T9*(1+Assumptions!$C$123)</f>
        <v>13139.865477701713</v>
      </c>
      <c r="V9" s="88">
        <f>U9*(1+Assumptions!$C$123)</f>
        <v>13402.662787255747</v>
      </c>
      <c r="W9" s="88">
        <f>V9*(1+Assumptions!$C$123)</f>
        <v>13670.716043000863</v>
      </c>
    </row>
    <row r="10" spans="1:24" x14ac:dyDescent="0.2">
      <c r="A10" s="68" t="s">
        <v>382</v>
      </c>
      <c r="B10" s="70" t="s">
        <v>88</v>
      </c>
      <c r="C10" s="89">
        <f>C8*C9*Operations!C15</f>
        <v>0</v>
      </c>
      <c r="D10" s="89">
        <f>D8*D9*Operations!D15</f>
        <v>313479997.875</v>
      </c>
      <c r="E10" s="89">
        <f>E8*E9*Operations!E15</f>
        <v>651498526.02729607</v>
      </c>
      <c r="F10" s="89">
        <f>F8*F9*Operations!F15</f>
        <v>855580439.30534661</v>
      </c>
      <c r="G10" s="89">
        <f>G8*G9*Operations!G15</f>
        <v>898872809.53419709</v>
      </c>
      <c r="H10" s="89">
        <f>H8*H9*Operations!H15</f>
        <v>666604075.55056071</v>
      </c>
      <c r="I10" s="89">
        <f>I8*I9*Operations!I15</f>
        <v>992140175.84567678</v>
      </c>
      <c r="J10" s="89">
        <f>J8*J9*Operations!J15</f>
        <v>1042342468.743468</v>
      </c>
      <c r="K10" s="89">
        <f>K8*K9*Operations!K15</f>
        <v>1095084997.6618876</v>
      </c>
      <c r="L10" s="89">
        <f>L8*L9*Operations!L15</f>
        <v>1150496298.5435791</v>
      </c>
      <c r="M10" s="89">
        <f>M8*M9*Operations!M15</f>
        <v>248852349.37497619</v>
      </c>
      <c r="N10" s="89">
        <f>N8*N9*Operations!N15</f>
        <v>0</v>
      </c>
      <c r="O10" s="89">
        <f>O8*O9*Operations!O15</f>
        <v>0</v>
      </c>
      <c r="P10" s="89">
        <f>P8*P9*Operations!P15</f>
        <v>0</v>
      </c>
      <c r="Q10" s="89">
        <f>Q8*Q9*Operations!Q15</f>
        <v>0</v>
      </c>
      <c r="R10" s="89">
        <f>R8*R9*Operations!R15</f>
        <v>0</v>
      </c>
      <c r="S10" s="89">
        <f>S8*S9*Operations!S15</f>
        <v>0</v>
      </c>
      <c r="T10" s="89">
        <f>T8*T9*Operations!T15</f>
        <v>0</v>
      </c>
      <c r="U10" s="89">
        <f>U8*U9*Operations!U15</f>
        <v>0</v>
      </c>
      <c r="V10" s="89">
        <f>V8*V9*Operations!V15</f>
        <v>0</v>
      </c>
      <c r="W10" s="89">
        <f>W8*W9*Operations!W15</f>
        <v>0</v>
      </c>
      <c r="X10" s="90">
        <f>SUM(C10:W10)</f>
        <v>7914952138.4619875</v>
      </c>
    </row>
    <row r="12" spans="1:24" ht="16" x14ac:dyDescent="0.2">
      <c r="A12" s="91" t="s">
        <v>383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  <row r="13" spans="1:24" x14ac:dyDescent="0.2">
      <c r="A13" t="s">
        <v>355</v>
      </c>
      <c r="B13" s="4" t="s">
        <v>378</v>
      </c>
      <c r="C13" s="93">
        <f>Assumptions!$D$124</f>
        <v>0</v>
      </c>
      <c r="D13" s="93">
        <f>Assumptions!$D$124</f>
        <v>0</v>
      </c>
      <c r="E13" s="93">
        <f>Assumptions!$D$124</f>
        <v>0</v>
      </c>
      <c r="F13" s="93">
        <f>Assumptions!$D$124</f>
        <v>0</v>
      </c>
      <c r="G13" s="93">
        <f>Assumptions!$D$124</f>
        <v>0</v>
      </c>
      <c r="H13" s="93">
        <f>Assumptions!$D$124</f>
        <v>0</v>
      </c>
      <c r="I13" s="93">
        <f>Assumptions!$D$124</f>
        <v>0</v>
      </c>
      <c r="J13" s="93">
        <f>Assumptions!$D$124</f>
        <v>0</v>
      </c>
      <c r="K13" s="93">
        <f>Assumptions!$D$124</f>
        <v>0</v>
      </c>
      <c r="L13" s="93">
        <f>Assumptions!$D$124</f>
        <v>0</v>
      </c>
      <c r="M13" s="93">
        <f>Assumptions!$D$124</f>
        <v>0</v>
      </c>
      <c r="N13" s="93">
        <f>Assumptions!$D$124</f>
        <v>0</v>
      </c>
      <c r="O13" s="93">
        <f>Assumptions!$D$124</f>
        <v>0</v>
      </c>
      <c r="P13" s="93">
        <f>Assumptions!$D$124</f>
        <v>0</v>
      </c>
      <c r="Q13" s="93">
        <f>Assumptions!$D$124</f>
        <v>0</v>
      </c>
      <c r="R13" s="93">
        <f>Assumptions!$D$124</f>
        <v>0</v>
      </c>
      <c r="S13" s="93">
        <f>Assumptions!$D$124</f>
        <v>0</v>
      </c>
      <c r="T13" s="93">
        <f>Assumptions!$D$124</f>
        <v>0</v>
      </c>
      <c r="U13" s="93">
        <f>Assumptions!$D$124</f>
        <v>0</v>
      </c>
      <c r="V13" s="93">
        <f>Assumptions!$D$124</f>
        <v>0</v>
      </c>
      <c r="W13" s="93">
        <f>Assumptions!$D$124</f>
        <v>0</v>
      </c>
    </row>
    <row r="14" spans="1:24" x14ac:dyDescent="0.2">
      <c r="A14" t="s">
        <v>357</v>
      </c>
      <c r="B14" s="4" t="s">
        <v>117</v>
      </c>
      <c r="C14" s="85">
        <f>Assumptions!$E$124</f>
        <v>0</v>
      </c>
      <c r="D14" s="85">
        <f>Assumptions!$E$124</f>
        <v>0</v>
      </c>
      <c r="E14" s="85">
        <f>Assumptions!$E$124</f>
        <v>0</v>
      </c>
      <c r="F14" s="85">
        <f>Assumptions!$E$124</f>
        <v>0</v>
      </c>
      <c r="G14" s="85">
        <f>Assumptions!$E$124</f>
        <v>0</v>
      </c>
      <c r="H14" s="85">
        <f>Assumptions!$E$124</f>
        <v>0</v>
      </c>
      <c r="I14" s="85">
        <f>Assumptions!$E$124</f>
        <v>0</v>
      </c>
      <c r="J14" s="85">
        <f>Assumptions!$E$124</f>
        <v>0</v>
      </c>
      <c r="K14" s="85">
        <f>Assumptions!$E$124</f>
        <v>0</v>
      </c>
      <c r="L14" s="85">
        <f>Assumptions!$E$124</f>
        <v>0</v>
      </c>
      <c r="M14" s="85">
        <f>Assumptions!$E$124</f>
        <v>0</v>
      </c>
      <c r="N14" s="85">
        <f>Assumptions!$E$124</f>
        <v>0</v>
      </c>
      <c r="O14" s="85">
        <f>Assumptions!$E$124</f>
        <v>0</v>
      </c>
      <c r="P14" s="85">
        <f>Assumptions!$E$124</f>
        <v>0</v>
      </c>
      <c r="Q14" s="85">
        <f>Assumptions!$E$124</f>
        <v>0</v>
      </c>
      <c r="R14" s="85">
        <f>Assumptions!$E$124</f>
        <v>0</v>
      </c>
      <c r="S14" s="85">
        <f>Assumptions!$E$124</f>
        <v>0</v>
      </c>
      <c r="T14" s="85">
        <f>Assumptions!$E$124</f>
        <v>0</v>
      </c>
      <c r="U14" s="85">
        <f>Assumptions!$E$124</f>
        <v>0</v>
      </c>
      <c r="V14" s="85">
        <f>Assumptions!$E$124</f>
        <v>0</v>
      </c>
      <c r="W14" s="85">
        <f>Assumptions!$E$124</f>
        <v>0</v>
      </c>
    </row>
    <row r="15" spans="1:24" x14ac:dyDescent="0.2">
      <c r="A15" t="s">
        <v>384</v>
      </c>
      <c r="B15" s="4" t="s">
        <v>380</v>
      </c>
      <c r="C15" s="86">
        <f>Operations!C9*C13*C14</f>
        <v>0</v>
      </c>
      <c r="D15" s="86">
        <f>Operations!D9*D13*D14</f>
        <v>0</v>
      </c>
      <c r="E15" s="86">
        <f>Operations!E9*E13*E14</f>
        <v>0</v>
      </c>
      <c r="F15" s="86">
        <f>Operations!F9*F13*F14</f>
        <v>0</v>
      </c>
      <c r="G15" s="86">
        <f>Operations!G9*G13*G14</f>
        <v>0</v>
      </c>
      <c r="H15" s="86">
        <f>Operations!H9*H13*H14</f>
        <v>0</v>
      </c>
      <c r="I15" s="86">
        <f>Operations!I9*I13*I14</f>
        <v>0</v>
      </c>
      <c r="J15" s="86">
        <f>Operations!J9*J13*J14</f>
        <v>0</v>
      </c>
      <c r="K15" s="86">
        <f>Operations!K9*K13*K14</f>
        <v>0</v>
      </c>
      <c r="L15" s="86">
        <f>Operations!L9*L13*L14</f>
        <v>0</v>
      </c>
      <c r="M15" s="86">
        <f>Operations!M9*M13*M14</f>
        <v>0</v>
      </c>
      <c r="N15" s="86">
        <f>Operations!N9*N13*N14</f>
        <v>0</v>
      </c>
      <c r="O15" s="86">
        <f>Operations!O9*O13*O14</f>
        <v>0</v>
      </c>
      <c r="P15" s="86">
        <f>Operations!P9*P13*P14</f>
        <v>0</v>
      </c>
      <c r="Q15" s="86">
        <f>Operations!Q9*Q13*Q14</f>
        <v>0</v>
      </c>
      <c r="R15" s="86">
        <f>Operations!R9*R13*R14</f>
        <v>0</v>
      </c>
      <c r="S15" s="86">
        <f>Operations!S9*S13*S14</f>
        <v>0</v>
      </c>
      <c r="T15" s="86">
        <f>Operations!T9*T13*T14</f>
        <v>0</v>
      </c>
      <c r="U15" s="86">
        <f>Operations!U9*U13*U14</f>
        <v>0</v>
      </c>
      <c r="V15" s="86">
        <f>Operations!V9*V13*V14</f>
        <v>0</v>
      </c>
      <c r="W15" s="86">
        <f>Operations!W9*W13*W14</f>
        <v>0</v>
      </c>
      <c r="X15" s="87">
        <f>SUM(C15:W15)</f>
        <v>0</v>
      </c>
    </row>
    <row r="16" spans="1:24" x14ac:dyDescent="0.2">
      <c r="A16" t="s">
        <v>385</v>
      </c>
      <c r="B16" s="4" t="s">
        <v>240</v>
      </c>
      <c r="C16" s="40">
        <f>Assumptions!$B$124</f>
        <v>16500</v>
      </c>
      <c r="D16" s="88">
        <f>C16*(1+Assumptions!$C$124)</f>
        <v>16830</v>
      </c>
      <c r="E16" s="88">
        <f>D16*(1+Assumptions!$C$124)</f>
        <v>17166.599999999999</v>
      </c>
      <c r="F16" s="88">
        <f>E16*(1+Assumptions!$C$124)</f>
        <v>17509.931999999997</v>
      </c>
      <c r="G16" s="88">
        <f>F16*(1+Assumptions!$C$124)</f>
        <v>17860.130639999996</v>
      </c>
      <c r="H16" s="88">
        <f>G16*(1+Assumptions!$C$124)</f>
        <v>18217.333252799996</v>
      </c>
      <c r="I16" s="88">
        <f>H16*(1+Assumptions!$C$124)</f>
        <v>18581.679917855996</v>
      </c>
      <c r="J16" s="88">
        <f>I16*(1+Assumptions!$C$124)</f>
        <v>18953.313516213115</v>
      </c>
      <c r="K16" s="88">
        <f>J16*(1+Assumptions!$C$124)</f>
        <v>19332.379786537378</v>
      </c>
      <c r="L16" s="88">
        <f>K16*(1+Assumptions!$C$124)</f>
        <v>19719.027382268127</v>
      </c>
      <c r="M16" s="88">
        <f>L16*(1+Assumptions!$C$124)</f>
        <v>20113.40792991349</v>
      </c>
      <c r="N16" s="88">
        <f>M16*(1+Assumptions!$C$124)</f>
        <v>20515.676088511762</v>
      </c>
      <c r="O16" s="88">
        <f>N16*(1+Assumptions!$C$124)</f>
        <v>20925.989610281998</v>
      </c>
      <c r="P16" s="88">
        <f>O16*(1+Assumptions!$C$124)</f>
        <v>21344.509402487638</v>
      </c>
      <c r="Q16" s="88">
        <f>P16*(1+Assumptions!$C$124)</f>
        <v>21771.399590537392</v>
      </c>
      <c r="R16" s="88">
        <f>Q16*(1+Assumptions!$C$124)</f>
        <v>22206.827582348142</v>
      </c>
      <c r="S16" s="88">
        <f>R16*(1+Assumptions!$C$124)</f>
        <v>22650.964133995105</v>
      </c>
      <c r="T16" s="88">
        <f>S16*(1+Assumptions!$C$124)</f>
        <v>23103.983416675008</v>
      </c>
      <c r="U16" s="88">
        <f>T16*(1+Assumptions!$C$124)</f>
        <v>23566.063085008507</v>
      </c>
      <c r="V16" s="88">
        <f>U16*(1+Assumptions!$C$124)</f>
        <v>24037.384346708677</v>
      </c>
      <c r="W16" s="88">
        <f>V16*(1+Assumptions!$C$124)</f>
        <v>24518.132033642851</v>
      </c>
    </row>
    <row r="17" spans="1:24" x14ac:dyDescent="0.2">
      <c r="A17" s="68" t="s">
        <v>386</v>
      </c>
      <c r="B17" s="70" t="s">
        <v>88</v>
      </c>
      <c r="C17" s="89">
        <f>C15*C16*Operations!C15</f>
        <v>0</v>
      </c>
      <c r="D17" s="89">
        <f>D15*D16*Operations!D15</f>
        <v>0</v>
      </c>
      <c r="E17" s="89">
        <f>E15*E16*Operations!E15</f>
        <v>0</v>
      </c>
      <c r="F17" s="89">
        <f>F15*F16*Operations!F15</f>
        <v>0</v>
      </c>
      <c r="G17" s="89">
        <f>G15*G16*Operations!G15</f>
        <v>0</v>
      </c>
      <c r="H17" s="89">
        <f>H15*H16*Operations!H15</f>
        <v>0</v>
      </c>
      <c r="I17" s="89">
        <f>I15*I16*Operations!I15</f>
        <v>0</v>
      </c>
      <c r="J17" s="89">
        <f>J15*J16*Operations!J15</f>
        <v>0</v>
      </c>
      <c r="K17" s="89">
        <f>K15*K16*Operations!K15</f>
        <v>0</v>
      </c>
      <c r="L17" s="89">
        <f>L15*L16*Operations!L15</f>
        <v>0</v>
      </c>
      <c r="M17" s="89">
        <f>M15*M16*Operations!M15</f>
        <v>0</v>
      </c>
      <c r="N17" s="89">
        <f>N15*N16*Operations!N15</f>
        <v>0</v>
      </c>
      <c r="O17" s="89">
        <f>O15*O16*Operations!O15</f>
        <v>0</v>
      </c>
      <c r="P17" s="89">
        <f>P15*P16*Operations!P15</f>
        <v>0</v>
      </c>
      <c r="Q17" s="89">
        <f>Q15*Q16*Operations!Q15</f>
        <v>0</v>
      </c>
      <c r="R17" s="89">
        <f>R15*R16*Operations!R15</f>
        <v>0</v>
      </c>
      <c r="S17" s="89">
        <f>S15*S16*Operations!S15</f>
        <v>0</v>
      </c>
      <c r="T17" s="89">
        <f>T15*T16*Operations!T15</f>
        <v>0</v>
      </c>
      <c r="U17" s="89">
        <f>U15*U16*Operations!U15</f>
        <v>0</v>
      </c>
      <c r="V17" s="89">
        <f>V15*V16*Operations!V15</f>
        <v>0</v>
      </c>
      <c r="W17" s="89">
        <f>W15*W16*Operations!W15</f>
        <v>0</v>
      </c>
      <c r="X17" s="90">
        <f>SUM(C17:W17)</f>
        <v>0</v>
      </c>
    </row>
    <row r="19" spans="1:24" ht="16" x14ac:dyDescent="0.2">
      <c r="A19" s="91" t="s">
        <v>387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</row>
    <row r="20" spans="1:24" x14ac:dyDescent="0.2">
      <c r="A20" t="s">
        <v>355</v>
      </c>
      <c r="B20" s="4" t="s">
        <v>378</v>
      </c>
      <c r="C20" s="93">
        <f>Assumptions!$D$125</f>
        <v>0</v>
      </c>
      <c r="D20" s="93">
        <f>Assumptions!$D$125</f>
        <v>0</v>
      </c>
      <c r="E20" s="93">
        <f>Assumptions!$D$125</f>
        <v>0</v>
      </c>
      <c r="F20" s="93">
        <f>Assumptions!$D$125</f>
        <v>0</v>
      </c>
      <c r="G20" s="93">
        <f>Assumptions!$D$125</f>
        <v>0</v>
      </c>
      <c r="H20" s="93">
        <f>Assumptions!$D$125</f>
        <v>0</v>
      </c>
      <c r="I20" s="93">
        <f>Assumptions!$D$125</f>
        <v>0</v>
      </c>
      <c r="J20" s="93">
        <f>Assumptions!$D$125</f>
        <v>0</v>
      </c>
      <c r="K20" s="93">
        <f>Assumptions!$D$125</f>
        <v>0</v>
      </c>
      <c r="L20" s="93">
        <f>Assumptions!$D$125</f>
        <v>0</v>
      </c>
      <c r="M20" s="93">
        <f>Assumptions!$D$125</f>
        <v>0</v>
      </c>
      <c r="N20" s="93">
        <f>Assumptions!$D$125</f>
        <v>0</v>
      </c>
      <c r="O20" s="93">
        <f>Assumptions!$D$125</f>
        <v>0</v>
      </c>
      <c r="P20" s="93">
        <f>Assumptions!$D$125</f>
        <v>0</v>
      </c>
      <c r="Q20" s="93">
        <f>Assumptions!$D$125</f>
        <v>0</v>
      </c>
      <c r="R20" s="93">
        <f>Assumptions!$D$125</f>
        <v>0</v>
      </c>
      <c r="S20" s="93">
        <f>Assumptions!$D$125</f>
        <v>0</v>
      </c>
      <c r="T20" s="93">
        <f>Assumptions!$D$125</f>
        <v>0</v>
      </c>
      <c r="U20" s="93">
        <f>Assumptions!$D$125</f>
        <v>0</v>
      </c>
      <c r="V20" s="93">
        <f>Assumptions!$D$125</f>
        <v>0</v>
      </c>
      <c r="W20" s="93">
        <f>Assumptions!$D$125</f>
        <v>0</v>
      </c>
    </row>
    <row r="21" spans="1:24" x14ac:dyDescent="0.2">
      <c r="A21" t="s">
        <v>357</v>
      </c>
      <c r="B21" s="4" t="s">
        <v>117</v>
      </c>
      <c r="C21" s="85">
        <f>Assumptions!$E$125</f>
        <v>0</v>
      </c>
      <c r="D21" s="85">
        <f>Assumptions!$E$125</f>
        <v>0</v>
      </c>
      <c r="E21" s="85">
        <f>Assumptions!$E$125</f>
        <v>0</v>
      </c>
      <c r="F21" s="85">
        <f>Assumptions!$E$125</f>
        <v>0</v>
      </c>
      <c r="G21" s="85">
        <f>Assumptions!$E$125</f>
        <v>0</v>
      </c>
      <c r="H21" s="85">
        <f>Assumptions!$E$125</f>
        <v>0</v>
      </c>
      <c r="I21" s="85">
        <f>Assumptions!$E$125</f>
        <v>0</v>
      </c>
      <c r="J21" s="85">
        <f>Assumptions!$E$125</f>
        <v>0</v>
      </c>
      <c r="K21" s="85">
        <f>Assumptions!$E$125</f>
        <v>0</v>
      </c>
      <c r="L21" s="85">
        <f>Assumptions!$E$125</f>
        <v>0</v>
      </c>
      <c r="M21" s="85">
        <f>Assumptions!$E$125</f>
        <v>0</v>
      </c>
      <c r="N21" s="85">
        <f>Assumptions!$E$125</f>
        <v>0</v>
      </c>
      <c r="O21" s="85">
        <f>Assumptions!$E$125</f>
        <v>0</v>
      </c>
      <c r="P21" s="85">
        <f>Assumptions!$E$125</f>
        <v>0</v>
      </c>
      <c r="Q21" s="85">
        <f>Assumptions!$E$125</f>
        <v>0</v>
      </c>
      <c r="R21" s="85">
        <f>Assumptions!$E$125</f>
        <v>0</v>
      </c>
      <c r="S21" s="85">
        <f>Assumptions!$E$125</f>
        <v>0</v>
      </c>
      <c r="T21" s="85">
        <f>Assumptions!$E$125</f>
        <v>0</v>
      </c>
      <c r="U21" s="85">
        <f>Assumptions!$E$125</f>
        <v>0</v>
      </c>
      <c r="V21" s="85">
        <f>Assumptions!$E$125</f>
        <v>0</v>
      </c>
      <c r="W21" s="85">
        <f>Assumptions!$E$125</f>
        <v>0</v>
      </c>
    </row>
    <row r="22" spans="1:24" x14ac:dyDescent="0.2">
      <c r="A22" t="s">
        <v>388</v>
      </c>
      <c r="B22" s="4" t="s">
        <v>380</v>
      </c>
      <c r="C22" s="86">
        <f>Operations!C9*C20*C21</f>
        <v>0</v>
      </c>
      <c r="D22" s="86">
        <f>Operations!D9*D20*D21</f>
        <v>0</v>
      </c>
      <c r="E22" s="86">
        <f>Operations!E9*E20*E21</f>
        <v>0</v>
      </c>
      <c r="F22" s="86">
        <f>Operations!F9*F20*F21</f>
        <v>0</v>
      </c>
      <c r="G22" s="86">
        <f>Operations!G9*G20*G21</f>
        <v>0</v>
      </c>
      <c r="H22" s="86">
        <f>Operations!H9*H20*H21</f>
        <v>0</v>
      </c>
      <c r="I22" s="86">
        <f>Operations!I9*I20*I21</f>
        <v>0</v>
      </c>
      <c r="J22" s="86">
        <f>Operations!J9*J20*J21</f>
        <v>0</v>
      </c>
      <c r="K22" s="86">
        <f>Operations!K9*K20*K21</f>
        <v>0</v>
      </c>
      <c r="L22" s="86">
        <f>Operations!L9*L20*L21</f>
        <v>0</v>
      </c>
      <c r="M22" s="86">
        <f>Operations!M9*M20*M21</f>
        <v>0</v>
      </c>
      <c r="N22" s="86">
        <f>Operations!N9*N20*N21</f>
        <v>0</v>
      </c>
      <c r="O22" s="86">
        <f>Operations!O9*O20*O21</f>
        <v>0</v>
      </c>
      <c r="P22" s="86">
        <f>Operations!P9*P20*P21</f>
        <v>0</v>
      </c>
      <c r="Q22" s="86">
        <f>Operations!Q9*Q20*Q21</f>
        <v>0</v>
      </c>
      <c r="R22" s="86">
        <f>Operations!R9*R20*R21</f>
        <v>0</v>
      </c>
      <c r="S22" s="86">
        <f>Operations!S9*S20*S21</f>
        <v>0</v>
      </c>
      <c r="T22" s="86">
        <f>Operations!T9*T20*T21</f>
        <v>0</v>
      </c>
      <c r="U22" s="86">
        <f>Operations!U9*U20*U21</f>
        <v>0</v>
      </c>
      <c r="V22" s="86">
        <f>Operations!V9*V20*V21</f>
        <v>0</v>
      </c>
      <c r="W22" s="86">
        <f>Operations!W9*W20*W21</f>
        <v>0</v>
      </c>
      <c r="X22" s="87">
        <f>SUM(C22:W22)</f>
        <v>0</v>
      </c>
    </row>
    <row r="23" spans="1:24" x14ac:dyDescent="0.2">
      <c r="A23" t="s">
        <v>389</v>
      </c>
      <c r="B23" s="4" t="s">
        <v>240</v>
      </c>
      <c r="C23" s="40">
        <f>Assumptions!$B$125</f>
        <v>2700</v>
      </c>
      <c r="D23" s="88">
        <f>C23*(1+Assumptions!$C$125)</f>
        <v>2754</v>
      </c>
      <c r="E23" s="88">
        <f>D23*(1+Assumptions!$C$125)</f>
        <v>2809.08</v>
      </c>
      <c r="F23" s="88">
        <f>E23*(1+Assumptions!$C$125)</f>
        <v>2865.2615999999998</v>
      </c>
      <c r="G23" s="88">
        <f>F23*(1+Assumptions!$C$125)</f>
        <v>2922.566832</v>
      </c>
      <c r="H23" s="88">
        <f>G23*(1+Assumptions!$C$125)</f>
        <v>2981.0181686400001</v>
      </c>
      <c r="I23" s="88">
        <f>H23*(1+Assumptions!$C$125)</f>
        <v>3040.6385320128002</v>
      </c>
      <c r="J23" s="88">
        <f>I23*(1+Assumptions!$C$125)</f>
        <v>3101.4513026530562</v>
      </c>
      <c r="K23" s="88">
        <f>J23*(1+Assumptions!$C$125)</f>
        <v>3163.4803287061172</v>
      </c>
      <c r="L23" s="88">
        <f>K23*(1+Assumptions!$C$125)</f>
        <v>3226.7499352802397</v>
      </c>
      <c r="M23" s="88">
        <f>L23*(1+Assumptions!$C$125)</f>
        <v>3291.2849339858444</v>
      </c>
      <c r="N23" s="88">
        <f>M23*(1+Assumptions!$C$125)</f>
        <v>3357.1106326655613</v>
      </c>
      <c r="O23" s="88">
        <f>N23*(1+Assumptions!$C$125)</f>
        <v>3424.2528453188725</v>
      </c>
      <c r="P23" s="88">
        <f>O23*(1+Assumptions!$C$125)</f>
        <v>3492.7379022252499</v>
      </c>
      <c r="Q23" s="88">
        <f>P23*(1+Assumptions!$C$125)</f>
        <v>3562.592660269755</v>
      </c>
      <c r="R23" s="88">
        <f>Q23*(1+Assumptions!$C$125)</f>
        <v>3633.8445134751501</v>
      </c>
      <c r="S23" s="88">
        <f>R23*(1+Assumptions!$C$125)</f>
        <v>3706.5214037446531</v>
      </c>
      <c r="T23" s="88">
        <f>S23*(1+Assumptions!$C$125)</f>
        <v>3780.6518318195463</v>
      </c>
      <c r="U23" s="88">
        <f>T23*(1+Assumptions!$C$125)</f>
        <v>3856.2648684559372</v>
      </c>
      <c r="V23" s="88">
        <f>U23*(1+Assumptions!$C$125)</f>
        <v>3933.3901658250561</v>
      </c>
      <c r="W23" s="88">
        <f>V23*(1+Assumptions!$C$125)</f>
        <v>4012.0579691415574</v>
      </c>
    </row>
    <row r="24" spans="1:24" x14ac:dyDescent="0.2">
      <c r="A24" s="68" t="s">
        <v>390</v>
      </c>
      <c r="B24" s="70" t="s">
        <v>88</v>
      </c>
      <c r="C24" s="89">
        <f>C22*C23*Operations!C15</f>
        <v>0</v>
      </c>
      <c r="D24" s="89">
        <f>D22*D23*Operations!D15</f>
        <v>0</v>
      </c>
      <c r="E24" s="89">
        <f>E22*E23*Operations!E15</f>
        <v>0</v>
      </c>
      <c r="F24" s="89">
        <f>F22*F23*Operations!F15</f>
        <v>0</v>
      </c>
      <c r="G24" s="89">
        <f>G22*G23*Operations!G15</f>
        <v>0</v>
      </c>
      <c r="H24" s="89">
        <f>H22*H23*Operations!H15</f>
        <v>0</v>
      </c>
      <c r="I24" s="89">
        <f>I22*I23*Operations!I15</f>
        <v>0</v>
      </c>
      <c r="J24" s="89">
        <f>J22*J23*Operations!J15</f>
        <v>0</v>
      </c>
      <c r="K24" s="89">
        <f>K22*K23*Operations!K15</f>
        <v>0</v>
      </c>
      <c r="L24" s="89">
        <f>L22*L23*Operations!L15</f>
        <v>0</v>
      </c>
      <c r="M24" s="89">
        <f>M22*M23*Operations!M15</f>
        <v>0</v>
      </c>
      <c r="N24" s="89">
        <f>N22*N23*Operations!N15</f>
        <v>0</v>
      </c>
      <c r="O24" s="89">
        <f>O22*O23*Operations!O15</f>
        <v>0</v>
      </c>
      <c r="P24" s="89">
        <f>P22*P23*Operations!P15</f>
        <v>0</v>
      </c>
      <c r="Q24" s="89">
        <f>Q22*Q23*Operations!Q15</f>
        <v>0</v>
      </c>
      <c r="R24" s="89">
        <f>R22*R23*Operations!R15</f>
        <v>0</v>
      </c>
      <c r="S24" s="89">
        <f>S22*S23*Operations!S15</f>
        <v>0</v>
      </c>
      <c r="T24" s="89">
        <f>T22*T23*Operations!T15</f>
        <v>0</v>
      </c>
      <c r="U24" s="89">
        <f>U22*U23*Operations!U15</f>
        <v>0</v>
      </c>
      <c r="V24" s="89">
        <f>V22*V23*Operations!V15</f>
        <v>0</v>
      </c>
      <c r="W24" s="89">
        <f>W22*W23*Operations!W15</f>
        <v>0</v>
      </c>
      <c r="X24" s="90">
        <f>SUM(C24:W24)</f>
        <v>0</v>
      </c>
    </row>
    <row r="26" spans="1:24" ht="16" x14ac:dyDescent="0.2">
      <c r="A26" s="91" t="s">
        <v>391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</row>
    <row r="27" spans="1:24" x14ac:dyDescent="0.2">
      <c r="A27" t="s">
        <v>355</v>
      </c>
      <c r="B27" s="4" t="s">
        <v>378</v>
      </c>
      <c r="C27" s="93">
        <f>Assumptions!$D$126</f>
        <v>0</v>
      </c>
      <c r="D27" s="93">
        <f>Assumptions!$D$126</f>
        <v>0</v>
      </c>
      <c r="E27" s="93">
        <f>Assumptions!$D$126</f>
        <v>0</v>
      </c>
      <c r="F27" s="93">
        <f>Assumptions!$D$126</f>
        <v>0</v>
      </c>
      <c r="G27" s="93">
        <f>Assumptions!$D$126</f>
        <v>0</v>
      </c>
      <c r="H27" s="93">
        <f>Assumptions!$D$126</f>
        <v>0</v>
      </c>
      <c r="I27" s="93">
        <f>Assumptions!$D$126</f>
        <v>0</v>
      </c>
      <c r="J27" s="93">
        <f>Assumptions!$D$126</f>
        <v>0</v>
      </c>
      <c r="K27" s="93">
        <f>Assumptions!$D$126</f>
        <v>0</v>
      </c>
      <c r="L27" s="93">
        <f>Assumptions!$D$126</f>
        <v>0</v>
      </c>
      <c r="M27" s="93">
        <f>Assumptions!$D$126</f>
        <v>0</v>
      </c>
      <c r="N27" s="93">
        <f>Assumptions!$D$126</f>
        <v>0</v>
      </c>
      <c r="O27" s="93">
        <f>Assumptions!$D$126</f>
        <v>0</v>
      </c>
      <c r="P27" s="93">
        <f>Assumptions!$D$126</f>
        <v>0</v>
      </c>
      <c r="Q27" s="93">
        <f>Assumptions!$D$126</f>
        <v>0</v>
      </c>
      <c r="R27" s="93">
        <f>Assumptions!$D$126</f>
        <v>0</v>
      </c>
      <c r="S27" s="93">
        <f>Assumptions!$D$126</f>
        <v>0</v>
      </c>
      <c r="T27" s="93">
        <f>Assumptions!$D$126</f>
        <v>0</v>
      </c>
      <c r="U27" s="93">
        <f>Assumptions!$D$126</f>
        <v>0</v>
      </c>
      <c r="V27" s="93">
        <f>Assumptions!$D$126</f>
        <v>0</v>
      </c>
      <c r="W27" s="93">
        <f>Assumptions!$D$126</f>
        <v>0</v>
      </c>
    </row>
    <row r="28" spans="1:24" x14ac:dyDescent="0.2">
      <c r="A28" t="s">
        <v>357</v>
      </c>
      <c r="B28" s="4" t="s">
        <v>117</v>
      </c>
      <c r="C28" s="85">
        <f>Assumptions!$E$126</f>
        <v>0</v>
      </c>
      <c r="D28" s="85">
        <f>Assumptions!$E$126</f>
        <v>0</v>
      </c>
      <c r="E28" s="85">
        <f>Assumptions!$E$126</f>
        <v>0</v>
      </c>
      <c r="F28" s="85">
        <f>Assumptions!$E$126</f>
        <v>0</v>
      </c>
      <c r="G28" s="85">
        <f>Assumptions!$E$126</f>
        <v>0</v>
      </c>
      <c r="H28" s="85">
        <f>Assumptions!$E$126</f>
        <v>0</v>
      </c>
      <c r="I28" s="85">
        <f>Assumptions!$E$126</f>
        <v>0</v>
      </c>
      <c r="J28" s="85">
        <f>Assumptions!$E$126</f>
        <v>0</v>
      </c>
      <c r="K28" s="85">
        <f>Assumptions!$E$126</f>
        <v>0</v>
      </c>
      <c r="L28" s="85">
        <f>Assumptions!$E$126</f>
        <v>0</v>
      </c>
      <c r="M28" s="85">
        <f>Assumptions!$E$126</f>
        <v>0</v>
      </c>
      <c r="N28" s="85">
        <f>Assumptions!$E$126</f>
        <v>0</v>
      </c>
      <c r="O28" s="85">
        <f>Assumptions!$E$126</f>
        <v>0</v>
      </c>
      <c r="P28" s="85">
        <f>Assumptions!$E$126</f>
        <v>0</v>
      </c>
      <c r="Q28" s="85">
        <f>Assumptions!$E$126</f>
        <v>0</v>
      </c>
      <c r="R28" s="85">
        <f>Assumptions!$E$126</f>
        <v>0</v>
      </c>
      <c r="S28" s="85">
        <f>Assumptions!$E$126</f>
        <v>0</v>
      </c>
      <c r="T28" s="85">
        <f>Assumptions!$E$126</f>
        <v>0</v>
      </c>
      <c r="U28" s="85">
        <f>Assumptions!$E$126</f>
        <v>0</v>
      </c>
      <c r="V28" s="85">
        <f>Assumptions!$E$126</f>
        <v>0</v>
      </c>
      <c r="W28" s="85">
        <f>Assumptions!$E$126</f>
        <v>0</v>
      </c>
    </row>
    <row r="29" spans="1:24" x14ac:dyDescent="0.2">
      <c r="A29" t="s">
        <v>392</v>
      </c>
      <c r="B29" s="4" t="s">
        <v>380</v>
      </c>
      <c r="C29" s="86">
        <f>Operations!C9*C27*C28</f>
        <v>0</v>
      </c>
      <c r="D29" s="86">
        <f>Operations!D9*D27*D28</f>
        <v>0</v>
      </c>
      <c r="E29" s="86">
        <f>Operations!E9*E27*E28</f>
        <v>0</v>
      </c>
      <c r="F29" s="86">
        <f>Operations!F9*F27*F28</f>
        <v>0</v>
      </c>
      <c r="G29" s="86">
        <f>Operations!G9*G27*G28</f>
        <v>0</v>
      </c>
      <c r="H29" s="86">
        <f>Operations!H9*H27*H28</f>
        <v>0</v>
      </c>
      <c r="I29" s="86">
        <f>Operations!I9*I27*I28</f>
        <v>0</v>
      </c>
      <c r="J29" s="86">
        <f>Operations!J9*J27*J28</f>
        <v>0</v>
      </c>
      <c r="K29" s="86">
        <f>Operations!K9*K27*K28</f>
        <v>0</v>
      </c>
      <c r="L29" s="86">
        <f>Operations!L9*L27*L28</f>
        <v>0</v>
      </c>
      <c r="M29" s="86">
        <f>Operations!M9*M27*M28</f>
        <v>0</v>
      </c>
      <c r="N29" s="86">
        <f>Operations!N9*N27*N28</f>
        <v>0</v>
      </c>
      <c r="O29" s="86">
        <f>Operations!O9*O27*O28</f>
        <v>0</v>
      </c>
      <c r="P29" s="86">
        <f>Operations!P9*P27*P28</f>
        <v>0</v>
      </c>
      <c r="Q29" s="86">
        <f>Operations!Q9*Q27*Q28</f>
        <v>0</v>
      </c>
      <c r="R29" s="86">
        <f>Operations!R9*R27*R28</f>
        <v>0</v>
      </c>
      <c r="S29" s="86">
        <f>Operations!S9*S27*S28</f>
        <v>0</v>
      </c>
      <c r="T29" s="86">
        <f>Operations!T9*T27*T28</f>
        <v>0</v>
      </c>
      <c r="U29" s="86">
        <f>Operations!U9*U27*U28</f>
        <v>0</v>
      </c>
      <c r="V29" s="86">
        <f>Operations!V9*V27*V28</f>
        <v>0</v>
      </c>
      <c r="W29" s="86">
        <f>Operations!W9*W27*W28</f>
        <v>0</v>
      </c>
      <c r="X29" s="87">
        <f>SUM(C29:W29)</f>
        <v>0</v>
      </c>
    </row>
    <row r="30" spans="1:24" x14ac:dyDescent="0.2">
      <c r="A30" t="s">
        <v>393</v>
      </c>
      <c r="B30" s="4" t="s">
        <v>240</v>
      </c>
      <c r="C30" s="40">
        <f>Assumptions!$B$126</f>
        <v>250</v>
      </c>
      <c r="D30" s="88">
        <f>C30*(1+Assumptions!$C$126)</f>
        <v>252.5</v>
      </c>
      <c r="E30" s="88">
        <f>D30*(1+Assumptions!$C$126)</f>
        <v>255.02500000000001</v>
      </c>
      <c r="F30" s="88">
        <f>E30*(1+Assumptions!$C$126)</f>
        <v>257.57524999999998</v>
      </c>
      <c r="G30" s="88">
        <f>F30*(1+Assumptions!$C$126)</f>
        <v>260.1510025</v>
      </c>
      <c r="H30" s="88">
        <f>G30*(1+Assumptions!$C$126)</f>
        <v>262.75251252499999</v>
      </c>
      <c r="I30" s="88">
        <f>H30*(1+Assumptions!$C$126)</f>
        <v>265.38003765024996</v>
      </c>
      <c r="J30" s="88">
        <f>I30*(1+Assumptions!$C$126)</f>
        <v>268.03383802675245</v>
      </c>
      <c r="K30" s="88">
        <f>J30*(1+Assumptions!$C$126)</f>
        <v>270.71417640701998</v>
      </c>
      <c r="L30" s="88">
        <f>K30*(1+Assumptions!$C$126)</f>
        <v>273.42131817109021</v>
      </c>
      <c r="M30" s="88">
        <f>L30*(1+Assumptions!$C$126)</f>
        <v>276.15553135280112</v>
      </c>
      <c r="N30" s="88">
        <f>M30*(1+Assumptions!$C$126)</f>
        <v>278.91708666632911</v>
      </c>
      <c r="O30" s="88">
        <f>N30*(1+Assumptions!$C$126)</f>
        <v>281.70625753299242</v>
      </c>
      <c r="P30" s="88">
        <f>O30*(1+Assumptions!$C$126)</f>
        <v>284.52332010832237</v>
      </c>
      <c r="Q30" s="88">
        <f>P30*(1+Assumptions!$C$126)</f>
        <v>287.36855330940557</v>
      </c>
      <c r="R30" s="88">
        <f>Q30*(1+Assumptions!$C$126)</f>
        <v>290.2422388424996</v>
      </c>
      <c r="S30" s="88">
        <f>R30*(1+Assumptions!$C$126)</f>
        <v>293.14466123092461</v>
      </c>
      <c r="T30" s="88">
        <f>S30*(1+Assumptions!$C$126)</f>
        <v>296.07610784323384</v>
      </c>
      <c r="U30" s="88">
        <f>T30*(1+Assumptions!$C$126)</f>
        <v>299.03686892166616</v>
      </c>
      <c r="V30" s="88">
        <f>U30*(1+Assumptions!$C$126)</f>
        <v>302.02723761088282</v>
      </c>
      <c r="W30" s="88">
        <f>V30*(1+Assumptions!$C$126)</f>
        <v>305.04750998699166</v>
      </c>
    </row>
    <row r="31" spans="1:24" x14ac:dyDescent="0.2">
      <c r="A31" s="68" t="s">
        <v>394</v>
      </c>
      <c r="B31" s="70" t="s">
        <v>88</v>
      </c>
      <c r="C31" s="89">
        <f>C29*C30*Operations!C15</f>
        <v>0</v>
      </c>
      <c r="D31" s="89">
        <f>D29*D30*Operations!D15</f>
        <v>0</v>
      </c>
      <c r="E31" s="89">
        <f>E29*E30*Operations!E15</f>
        <v>0</v>
      </c>
      <c r="F31" s="89">
        <f>F29*F30*Operations!F15</f>
        <v>0</v>
      </c>
      <c r="G31" s="89">
        <f>G29*G30*Operations!G15</f>
        <v>0</v>
      </c>
      <c r="H31" s="89">
        <f>H29*H30*Operations!H15</f>
        <v>0</v>
      </c>
      <c r="I31" s="89">
        <f>I29*I30*Operations!I15</f>
        <v>0</v>
      </c>
      <c r="J31" s="89">
        <f>J29*J30*Operations!J15</f>
        <v>0</v>
      </c>
      <c r="K31" s="89">
        <f>K29*K30*Operations!K15</f>
        <v>0</v>
      </c>
      <c r="L31" s="89">
        <f>L29*L30*Operations!L15</f>
        <v>0</v>
      </c>
      <c r="M31" s="89">
        <f>M29*M30*Operations!M15</f>
        <v>0</v>
      </c>
      <c r="N31" s="89">
        <f>N29*N30*Operations!N15</f>
        <v>0</v>
      </c>
      <c r="O31" s="89">
        <f>O29*O30*Operations!O15</f>
        <v>0</v>
      </c>
      <c r="P31" s="89">
        <f>P29*P30*Operations!P15</f>
        <v>0</v>
      </c>
      <c r="Q31" s="89">
        <f>Q29*Q30*Operations!Q15</f>
        <v>0</v>
      </c>
      <c r="R31" s="89">
        <f>R29*R30*Operations!R15</f>
        <v>0</v>
      </c>
      <c r="S31" s="89">
        <f>S29*S30*Operations!S15</f>
        <v>0</v>
      </c>
      <c r="T31" s="89">
        <f>T29*T30*Operations!T15</f>
        <v>0</v>
      </c>
      <c r="U31" s="89">
        <f>U29*U30*Operations!U15</f>
        <v>0</v>
      </c>
      <c r="V31" s="89">
        <f>V29*V30*Operations!V15</f>
        <v>0</v>
      </c>
      <c r="W31" s="89">
        <f>W29*W30*Operations!W15</f>
        <v>0</v>
      </c>
      <c r="X31" s="90">
        <f>SUM(C31:W31)</f>
        <v>0</v>
      </c>
    </row>
    <row r="33" spans="1:24" ht="16" x14ac:dyDescent="0.2">
      <c r="A33" s="91" t="s">
        <v>395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</row>
    <row r="34" spans="1:24" x14ac:dyDescent="0.2">
      <c r="A34" t="s">
        <v>355</v>
      </c>
      <c r="B34" s="4" t="s">
        <v>378</v>
      </c>
      <c r="C34" s="93">
        <f>Assumptions!$D$127</f>
        <v>0</v>
      </c>
      <c r="D34" s="93">
        <f>Assumptions!$D$127</f>
        <v>0</v>
      </c>
      <c r="E34" s="93">
        <f>Assumptions!$D$127</f>
        <v>0</v>
      </c>
      <c r="F34" s="93">
        <f>Assumptions!$D$127</f>
        <v>0</v>
      </c>
      <c r="G34" s="93">
        <f>Assumptions!$D$127</f>
        <v>0</v>
      </c>
      <c r="H34" s="93">
        <f>Assumptions!$D$127</f>
        <v>0</v>
      </c>
      <c r="I34" s="93">
        <f>Assumptions!$D$127</f>
        <v>0</v>
      </c>
      <c r="J34" s="93">
        <f>Assumptions!$D$127</f>
        <v>0</v>
      </c>
      <c r="K34" s="93">
        <f>Assumptions!$D$127</f>
        <v>0</v>
      </c>
      <c r="L34" s="93">
        <f>Assumptions!$D$127</f>
        <v>0</v>
      </c>
      <c r="M34" s="93">
        <f>Assumptions!$D$127</f>
        <v>0</v>
      </c>
      <c r="N34" s="93">
        <f>Assumptions!$D$127</f>
        <v>0</v>
      </c>
      <c r="O34" s="93">
        <f>Assumptions!$D$127</f>
        <v>0</v>
      </c>
      <c r="P34" s="93">
        <f>Assumptions!$D$127</f>
        <v>0</v>
      </c>
      <c r="Q34" s="93">
        <f>Assumptions!$D$127</f>
        <v>0</v>
      </c>
      <c r="R34" s="93">
        <f>Assumptions!$D$127</f>
        <v>0</v>
      </c>
      <c r="S34" s="93">
        <f>Assumptions!$D$127</f>
        <v>0</v>
      </c>
      <c r="T34" s="93">
        <f>Assumptions!$D$127</f>
        <v>0</v>
      </c>
      <c r="U34" s="93">
        <f>Assumptions!$D$127</f>
        <v>0</v>
      </c>
      <c r="V34" s="93">
        <f>Assumptions!$D$127</f>
        <v>0</v>
      </c>
      <c r="W34" s="93">
        <f>Assumptions!$D$127</f>
        <v>0</v>
      </c>
    </row>
    <row r="35" spans="1:24" x14ac:dyDescent="0.2">
      <c r="A35" t="s">
        <v>357</v>
      </c>
      <c r="B35" s="4" t="s">
        <v>117</v>
      </c>
      <c r="C35" s="85">
        <f>Assumptions!$E$127</f>
        <v>0</v>
      </c>
      <c r="D35" s="85">
        <f>Assumptions!$E$127</f>
        <v>0</v>
      </c>
      <c r="E35" s="85">
        <f>Assumptions!$E$127</f>
        <v>0</v>
      </c>
      <c r="F35" s="85">
        <f>Assumptions!$E$127</f>
        <v>0</v>
      </c>
      <c r="G35" s="85">
        <f>Assumptions!$E$127</f>
        <v>0</v>
      </c>
      <c r="H35" s="85">
        <f>Assumptions!$E$127</f>
        <v>0</v>
      </c>
      <c r="I35" s="85">
        <f>Assumptions!$E$127</f>
        <v>0</v>
      </c>
      <c r="J35" s="85">
        <f>Assumptions!$E$127</f>
        <v>0</v>
      </c>
      <c r="K35" s="85">
        <f>Assumptions!$E$127</f>
        <v>0</v>
      </c>
      <c r="L35" s="85">
        <f>Assumptions!$E$127</f>
        <v>0</v>
      </c>
      <c r="M35" s="85">
        <f>Assumptions!$E$127</f>
        <v>0</v>
      </c>
      <c r="N35" s="85">
        <f>Assumptions!$E$127</f>
        <v>0</v>
      </c>
      <c r="O35" s="85">
        <f>Assumptions!$E$127</f>
        <v>0</v>
      </c>
      <c r="P35" s="85">
        <f>Assumptions!$E$127</f>
        <v>0</v>
      </c>
      <c r="Q35" s="85">
        <f>Assumptions!$E$127</f>
        <v>0</v>
      </c>
      <c r="R35" s="85">
        <f>Assumptions!$E$127</f>
        <v>0</v>
      </c>
      <c r="S35" s="85">
        <f>Assumptions!$E$127</f>
        <v>0</v>
      </c>
      <c r="T35" s="85">
        <f>Assumptions!$E$127</f>
        <v>0</v>
      </c>
      <c r="U35" s="85">
        <f>Assumptions!$E$127</f>
        <v>0</v>
      </c>
      <c r="V35" s="85">
        <f>Assumptions!$E$127</f>
        <v>0</v>
      </c>
      <c r="W35" s="85">
        <f>Assumptions!$E$127</f>
        <v>0</v>
      </c>
    </row>
    <row r="36" spans="1:24" x14ac:dyDescent="0.2">
      <c r="A36" t="s">
        <v>396</v>
      </c>
      <c r="B36" s="4" t="s">
        <v>380</v>
      </c>
      <c r="C36" s="86">
        <f>Operations!C9*C34*C35</f>
        <v>0</v>
      </c>
      <c r="D36" s="86">
        <f>Operations!D9*D34*D35</f>
        <v>0</v>
      </c>
      <c r="E36" s="86">
        <f>Operations!E9*E34*E35</f>
        <v>0</v>
      </c>
      <c r="F36" s="86">
        <f>Operations!F9*F34*F35</f>
        <v>0</v>
      </c>
      <c r="G36" s="86">
        <f>Operations!G9*G34*G35</f>
        <v>0</v>
      </c>
      <c r="H36" s="86">
        <f>Operations!H9*H34*H35</f>
        <v>0</v>
      </c>
      <c r="I36" s="86">
        <f>Operations!I9*I34*I35</f>
        <v>0</v>
      </c>
      <c r="J36" s="86">
        <f>Operations!J9*J34*J35</f>
        <v>0</v>
      </c>
      <c r="K36" s="86">
        <f>Operations!K9*K34*K35</f>
        <v>0</v>
      </c>
      <c r="L36" s="86">
        <f>Operations!L9*L34*L35</f>
        <v>0</v>
      </c>
      <c r="M36" s="86">
        <f>Operations!M9*M34*M35</f>
        <v>0</v>
      </c>
      <c r="N36" s="86">
        <f>Operations!N9*N34*N35</f>
        <v>0</v>
      </c>
      <c r="O36" s="86">
        <f>Operations!O9*O34*O35</f>
        <v>0</v>
      </c>
      <c r="P36" s="86">
        <f>Operations!P9*P34*P35</f>
        <v>0</v>
      </c>
      <c r="Q36" s="86">
        <f>Operations!Q9*Q34*Q35</f>
        <v>0</v>
      </c>
      <c r="R36" s="86">
        <f>Operations!R9*R34*R35</f>
        <v>0</v>
      </c>
      <c r="S36" s="86">
        <f>Operations!S9*S34*S35</f>
        <v>0</v>
      </c>
      <c r="T36" s="86">
        <f>Operations!T9*T34*T35</f>
        <v>0</v>
      </c>
      <c r="U36" s="86">
        <f>Operations!U9*U34*U35</f>
        <v>0</v>
      </c>
      <c r="V36" s="86">
        <f>Operations!V9*V34*V35</f>
        <v>0</v>
      </c>
      <c r="W36" s="86">
        <f>Operations!W9*W34*W35</f>
        <v>0</v>
      </c>
      <c r="X36" s="87">
        <f>SUM(C36:W36)</f>
        <v>0</v>
      </c>
    </row>
    <row r="37" spans="1:24" x14ac:dyDescent="0.2">
      <c r="A37" t="s">
        <v>397</v>
      </c>
      <c r="B37" s="4" t="s">
        <v>240</v>
      </c>
      <c r="C37" s="40">
        <f>Assumptions!$B$127</f>
        <v>350</v>
      </c>
      <c r="D37" s="88">
        <f>C37*(1+Assumptions!$C$127)</f>
        <v>353.5</v>
      </c>
      <c r="E37" s="88">
        <f>D37*(1+Assumptions!$C$127)</f>
        <v>357.03500000000003</v>
      </c>
      <c r="F37" s="88">
        <f>E37*(1+Assumptions!$C$127)</f>
        <v>360.60535000000004</v>
      </c>
      <c r="G37" s="88">
        <f>F37*(1+Assumptions!$C$127)</f>
        <v>364.21140350000007</v>
      </c>
      <c r="H37" s="88">
        <f>G37*(1+Assumptions!$C$127)</f>
        <v>367.85351753500009</v>
      </c>
      <c r="I37" s="88">
        <f>H37*(1+Assumptions!$C$127)</f>
        <v>371.53205271035011</v>
      </c>
      <c r="J37" s="88">
        <f>I37*(1+Assumptions!$C$127)</f>
        <v>375.24737323745364</v>
      </c>
      <c r="K37" s="88">
        <f>J37*(1+Assumptions!$C$127)</f>
        <v>378.99984696982818</v>
      </c>
      <c r="L37" s="88">
        <f>K37*(1+Assumptions!$C$127)</f>
        <v>382.78984543952646</v>
      </c>
      <c r="M37" s="88">
        <f>L37*(1+Assumptions!$C$127)</f>
        <v>386.61774389392173</v>
      </c>
      <c r="N37" s="88">
        <f>M37*(1+Assumptions!$C$127)</f>
        <v>390.48392133286097</v>
      </c>
      <c r="O37" s="88">
        <f>N37*(1+Assumptions!$C$127)</f>
        <v>394.38876054618959</v>
      </c>
      <c r="P37" s="88">
        <f>O37*(1+Assumptions!$C$127)</f>
        <v>398.33264815165148</v>
      </c>
      <c r="Q37" s="88">
        <f>P37*(1+Assumptions!$C$127)</f>
        <v>402.31597463316803</v>
      </c>
      <c r="R37" s="88">
        <f>Q37*(1+Assumptions!$C$127)</f>
        <v>406.33913437949968</v>
      </c>
      <c r="S37" s="88">
        <f>R37*(1+Assumptions!$C$127)</f>
        <v>410.40252572329467</v>
      </c>
      <c r="T37" s="88">
        <f>S37*(1+Assumptions!$C$127)</f>
        <v>414.50655098052761</v>
      </c>
      <c r="U37" s="88">
        <f>T37*(1+Assumptions!$C$127)</f>
        <v>418.65161649033291</v>
      </c>
      <c r="V37" s="88">
        <f>U37*(1+Assumptions!$C$127)</f>
        <v>422.83813265523622</v>
      </c>
      <c r="W37" s="88">
        <f>V37*(1+Assumptions!$C$127)</f>
        <v>427.0665139817886</v>
      </c>
    </row>
    <row r="38" spans="1:24" x14ac:dyDescent="0.2">
      <c r="A38" s="68" t="s">
        <v>398</v>
      </c>
      <c r="B38" s="70" t="s">
        <v>88</v>
      </c>
      <c r="C38" s="89">
        <f>C36*C37*Operations!C15</f>
        <v>0</v>
      </c>
      <c r="D38" s="89">
        <f>D36*D37*Operations!D15</f>
        <v>0</v>
      </c>
      <c r="E38" s="89">
        <f>E36*E37*Operations!E15</f>
        <v>0</v>
      </c>
      <c r="F38" s="89">
        <f>F36*F37*Operations!F15</f>
        <v>0</v>
      </c>
      <c r="G38" s="89">
        <f>G36*G37*Operations!G15</f>
        <v>0</v>
      </c>
      <c r="H38" s="89">
        <f>H36*H37*Operations!H15</f>
        <v>0</v>
      </c>
      <c r="I38" s="89">
        <f>I36*I37*Operations!I15</f>
        <v>0</v>
      </c>
      <c r="J38" s="89">
        <f>J36*J37*Operations!J15</f>
        <v>0</v>
      </c>
      <c r="K38" s="89">
        <f>K36*K37*Operations!K15</f>
        <v>0</v>
      </c>
      <c r="L38" s="89">
        <f>L36*L37*Operations!L15</f>
        <v>0</v>
      </c>
      <c r="M38" s="89">
        <f>M36*M37*Operations!M15</f>
        <v>0</v>
      </c>
      <c r="N38" s="89">
        <f>N36*N37*Operations!N15</f>
        <v>0</v>
      </c>
      <c r="O38" s="89">
        <f>O36*O37*Operations!O15</f>
        <v>0</v>
      </c>
      <c r="P38" s="89">
        <f>P36*P37*Operations!P15</f>
        <v>0</v>
      </c>
      <c r="Q38" s="89">
        <f>Q36*Q37*Operations!Q15</f>
        <v>0</v>
      </c>
      <c r="R38" s="89">
        <f>R36*R37*Operations!R15</f>
        <v>0</v>
      </c>
      <c r="S38" s="89">
        <f>S36*S37*Operations!S15</f>
        <v>0</v>
      </c>
      <c r="T38" s="89">
        <f>T36*T37*Operations!T15</f>
        <v>0</v>
      </c>
      <c r="U38" s="89">
        <f>U36*U37*Operations!U15</f>
        <v>0</v>
      </c>
      <c r="V38" s="89">
        <f>V36*V37*Operations!V15</f>
        <v>0</v>
      </c>
      <c r="W38" s="89">
        <f>W36*W37*Operations!W15</f>
        <v>0</v>
      </c>
      <c r="X38" s="90">
        <f>SUM(C38:W38)</f>
        <v>0</v>
      </c>
    </row>
    <row r="40" spans="1:24" ht="16" x14ac:dyDescent="0.2">
      <c r="A40" s="91" t="s">
        <v>399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</row>
    <row r="41" spans="1:24" x14ac:dyDescent="0.2">
      <c r="A41" t="s">
        <v>355</v>
      </c>
      <c r="B41" s="4" t="s">
        <v>378</v>
      </c>
      <c r="C41" s="93">
        <f>Assumptions!$D$128</f>
        <v>0</v>
      </c>
      <c r="D41" s="93">
        <f>Assumptions!$D$128</f>
        <v>0</v>
      </c>
      <c r="E41" s="93">
        <f>Assumptions!$D$128</f>
        <v>0</v>
      </c>
      <c r="F41" s="93">
        <f>Assumptions!$D$128</f>
        <v>0</v>
      </c>
      <c r="G41" s="93">
        <f>Assumptions!$D$128</f>
        <v>0</v>
      </c>
      <c r="H41" s="93">
        <f>Assumptions!$D$128</f>
        <v>0</v>
      </c>
      <c r="I41" s="93">
        <f>Assumptions!$D$128</f>
        <v>0</v>
      </c>
      <c r="J41" s="93">
        <f>Assumptions!$D$128</f>
        <v>0</v>
      </c>
      <c r="K41" s="93">
        <f>Assumptions!$D$128</f>
        <v>0</v>
      </c>
      <c r="L41" s="93">
        <f>Assumptions!$D$128</f>
        <v>0</v>
      </c>
      <c r="M41" s="93">
        <f>Assumptions!$D$128</f>
        <v>0</v>
      </c>
      <c r="N41" s="93">
        <f>Assumptions!$D$128</f>
        <v>0</v>
      </c>
      <c r="O41" s="93">
        <f>Assumptions!$D$128</f>
        <v>0</v>
      </c>
      <c r="P41" s="93">
        <f>Assumptions!$D$128</f>
        <v>0</v>
      </c>
      <c r="Q41" s="93">
        <f>Assumptions!$D$128</f>
        <v>0</v>
      </c>
      <c r="R41" s="93">
        <f>Assumptions!$D$128</f>
        <v>0</v>
      </c>
      <c r="S41" s="93">
        <f>Assumptions!$D$128</f>
        <v>0</v>
      </c>
      <c r="T41" s="93">
        <f>Assumptions!$D$128</f>
        <v>0</v>
      </c>
      <c r="U41" s="93">
        <f>Assumptions!$D$128</f>
        <v>0</v>
      </c>
      <c r="V41" s="93">
        <f>Assumptions!$D$128</f>
        <v>0</v>
      </c>
      <c r="W41" s="93">
        <f>Assumptions!$D$128</f>
        <v>0</v>
      </c>
    </row>
    <row r="42" spans="1:24" x14ac:dyDescent="0.2">
      <c r="A42" t="s">
        <v>357</v>
      </c>
      <c r="B42" s="4" t="s">
        <v>117</v>
      </c>
      <c r="C42" s="85">
        <f>Assumptions!$E$128</f>
        <v>0</v>
      </c>
      <c r="D42" s="85">
        <f>Assumptions!$E$128</f>
        <v>0</v>
      </c>
      <c r="E42" s="85">
        <f>Assumptions!$E$128</f>
        <v>0</v>
      </c>
      <c r="F42" s="85">
        <f>Assumptions!$E$128</f>
        <v>0</v>
      </c>
      <c r="G42" s="85">
        <f>Assumptions!$E$128</f>
        <v>0</v>
      </c>
      <c r="H42" s="85">
        <f>Assumptions!$E$128</f>
        <v>0</v>
      </c>
      <c r="I42" s="85">
        <f>Assumptions!$E$128</f>
        <v>0</v>
      </c>
      <c r="J42" s="85">
        <f>Assumptions!$E$128</f>
        <v>0</v>
      </c>
      <c r="K42" s="85">
        <f>Assumptions!$E$128</f>
        <v>0</v>
      </c>
      <c r="L42" s="85">
        <f>Assumptions!$E$128</f>
        <v>0</v>
      </c>
      <c r="M42" s="85">
        <f>Assumptions!$E$128</f>
        <v>0</v>
      </c>
      <c r="N42" s="85">
        <f>Assumptions!$E$128</f>
        <v>0</v>
      </c>
      <c r="O42" s="85">
        <f>Assumptions!$E$128</f>
        <v>0</v>
      </c>
      <c r="P42" s="85">
        <f>Assumptions!$E$128</f>
        <v>0</v>
      </c>
      <c r="Q42" s="85">
        <f>Assumptions!$E$128</f>
        <v>0</v>
      </c>
      <c r="R42" s="85">
        <f>Assumptions!$E$128</f>
        <v>0</v>
      </c>
      <c r="S42" s="85">
        <f>Assumptions!$E$128</f>
        <v>0</v>
      </c>
      <c r="T42" s="85">
        <f>Assumptions!$E$128</f>
        <v>0</v>
      </c>
      <c r="U42" s="85">
        <f>Assumptions!$E$128</f>
        <v>0</v>
      </c>
      <c r="V42" s="85">
        <f>Assumptions!$E$128</f>
        <v>0</v>
      </c>
      <c r="W42" s="85">
        <f>Assumptions!$E$128</f>
        <v>0</v>
      </c>
    </row>
    <row r="43" spans="1:24" x14ac:dyDescent="0.2">
      <c r="A43" t="s">
        <v>400</v>
      </c>
      <c r="B43" s="4" t="s">
        <v>380</v>
      </c>
      <c r="C43" s="86">
        <f>Operations!C9*C41*C42</f>
        <v>0</v>
      </c>
      <c r="D43" s="86">
        <f>Operations!D9*D41*D42</f>
        <v>0</v>
      </c>
      <c r="E43" s="86">
        <f>Operations!E9*E41*E42</f>
        <v>0</v>
      </c>
      <c r="F43" s="86">
        <f>Operations!F9*F41*F42</f>
        <v>0</v>
      </c>
      <c r="G43" s="86">
        <f>Operations!G9*G41*G42</f>
        <v>0</v>
      </c>
      <c r="H43" s="86">
        <f>Operations!H9*H41*H42</f>
        <v>0</v>
      </c>
      <c r="I43" s="86">
        <f>Operations!I9*I41*I42</f>
        <v>0</v>
      </c>
      <c r="J43" s="86">
        <f>Operations!J9*J41*J42</f>
        <v>0</v>
      </c>
      <c r="K43" s="86">
        <f>Operations!K9*K41*K42</f>
        <v>0</v>
      </c>
      <c r="L43" s="86">
        <f>Operations!L9*L41*L42</f>
        <v>0</v>
      </c>
      <c r="M43" s="86">
        <f>Operations!M9*M41*M42</f>
        <v>0</v>
      </c>
      <c r="N43" s="86">
        <f>Operations!N9*N41*N42</f>
        <v>0</v>
      </c>
      <c r="O43" s="86">
        <f>Operations!O9*O41*O42</f>
        <v>0</v>
      </c>
      <c r="P43" s="86">
        <f>Operations!P9*P41*P42</f>
        <v>0</v>
      </c>
      <c r="Q43" s="86">
        <f>Operations!Q9*Q41*Q42</f>
        <v>0</v>
      </c>
      <c r="R43" s="86">
        <f>Operations!R9*R41*R42</f>
        <v>0</v>
      </c>
      <c r="S43" s="86">
        <f>Operations!S9*S41*S42</f>
        <v>0</v>
      </c>
      <c r="T43" s="86">
        <f>Operations!T9*T41*T42</f>
        <v>0</v>
      </c>
      <c r="U43" s="86">
        <f>Operations!U9*U41*U42</f>
        <v>0</v>
      </c>
      <c r="V43" s="86">
        <f>Operations!V9*V41*V42</f>
        <v>0</v>
      </c>
      <c r="W43" s="86">
        <f>Operations!W9*W41*W42</f>
        <v>0</v>
      </c>
      <c r="X43" s="87">
        <f>SUM(C43:W43)</f>
        <v>0</v>
      </c>
    </row>
    <row r="44" spans="1:24" x14ac:dyDescent="0.2">
      <c r="A44" t="s">
        <v>401</v>
      </c>
      <c r="B44" s="4" t="s">
        <v>240</v>
      </c>
      <c r="C44" s="40">
        <f>Assumptions!$B$128</f>
        <v>105</v>
      </c>
      <c r="D44" s="88">
        <f>C44*(1+Assumptions!$C$128)</f>
        <v>106.05</v>
      </c>
      <c r="E44" s="88">
        <f>D44*(1+Assumptions!$C$128)</f>
        <v>107.1105</v>
      </c>
      <c r="F44" s="88">
        <f>E44*(1+Assumptions!$C$128)</f>
        <v>108.181605</v>
      </c>
      <c r="G44" s="88">
        <f>F44*(1+Assumptions!$C$128)</f>
        <v>109.26342105000001</v>
      </c>
      <c r="H44" s="88">
        <f>G44*(1+Assumptions!$C$128)</f>
        <v>110.3560552605</v>
      </c>
      <c r="I44" s="88">
        <f>H44*(1+Assumptions!$C$128)</f>
        <v>111.459615813105</v>
      </c>
      <c r="J44" s="88">
        <f>I44*(1+Assumptions!$C$128)</f>
        <v>112.57421197123605</v>
      </c>
      <c r="K44" s="88">
        <f>J44*(1+Assumptions!$C$128)</f>
        <v>113.69995409094841</v>
      </c>
      <c r="L44" s="88">
        <f>K44*(1+Assumptions!$C$128)</f>
        <v>114.8369536318579</v>
      </c>
      <c r="M44" s="88">
        <f>L44*(1+Assumptions!$C$128)</f>
        <v>115.98532316817648</v>
      </c>
      <c r="N44" s="88">
        <f>M44*(1+Assumptions!$C$128)</f>
        <v>117.14517639985824</v>
      </c>
      <c r="O44" s="88">
        <f>N44*(1+Assumptions!$C$128)</f>
        <v>118.31662816385683</v>
      </c>
      <c r="P44" s="88">
        <f>O44*(1+Assumptions!$C$128)</f>
        <v>119.4997944454954</v>
      </c>
      <c r="Q44" s="88">
        <f>P44*(1+Assumptions!$C$128)</f>
        <v>120.69479238995035</v>
      </c>
      <c r="R44" s="88">
        <f>Q44*(1+Assumptions!$C$128)</f>
        <v>121.90174031384986</v>
      </c>
      <c r="S44" s="88">
        <f>R44*(1+Assumptions!$C$128)</f>
        <v>123.12075771698835</v>
      </c>
      <c r="T44" s="88">
        <f>S44*(1+Assumptions!$C$128)</f>
        <v>124.35196529415823</v>
      </c>
      <c r="U44" s="88">
        <f>T44*(1+Assumptions!$C$128)</f>
        <v>125.59548494709982</v>
      </c>
      <c r="V44" s="88">
        <f>U44*(1+Assumptions!$C$128)</f>
        <v>126.85143979657082</v>
      </c>
      <c r="W44" s="88">
        <f>V44*(1+Assumptions!$C$128)</f>
        <v>128.11995419453652</v>
      </c>
    </row>
    <row r="45" spans="1:24" x14ac:dyDescent="0.2">
      <c r="A45" s="68" t="s">
        <v>402</v>
      </c>
      <c r="B45" s="70" t="s">
        <v>88</v>
      </c>
      <c r="C45" s="89">
        <f>C43*C44*Operations!C15</f>
        <v>0</v>
      </c>
      <c r="D45" s="89">
        <f>D43*D44*Operations!D15</f>
        <v>0</v>
      </c>
      <c r="E45" s="89">
        <f>E43*E44*Operations!E15</f>
        <v>0</v>
      </c>
      <c r="F45" s="89">
        <f>F43*F44*Operations!F15</f>
        <v>0</v>
      </c>
      <c r="G45" s="89">
        <f>G43*G44*Operations!G15</f>
        <v>0</v>
      </c>
      <c r="H45" s="89">
        <f>H43*H44*Operations!H15</f>
        <v>0</v>
      </c>
      <c r="I45" s="89">
        <f>I43*I44*Operations!I15</f>
        <v>0</v>
      </c>
      <c r="J45" s="89">
        <f>J43*J44*Operations!J15</f>
        <v>0</v>
      </c>
      <c r="K45" s="89">
        <f>K43*K44*Operations!K15</f>
        <v>0</v>
      </c>
      <c r="L45" s="89">
        <f>L43*L44*Operations!L15</f>
        <v>0</v>
      </c>
      <c r="M45" s="89">
        <f>M43*M44*Operations!M15</f>
        <v>0</v>
      </c>
      <c r="N45" s="89">
        <f>N43*N44*Operations!N15</f>
        <v>0</v>
      </c>
      <c r="O45" s="89">
        <f>O43*O44*Operations!O15</f>
        <v>0</v>
      </c>
      <c r="P45" s="89">
        <f>P43*P44*Operations!P15</f>
        <v>0</v>
      </c>
      <c r="Q45" s="89">
        <f>Q43*Q44*Operations!Q15</f>
        <v>0</v>
      </c>
      <c r="R45" s="89">
        <f>R43*R44*Operations!R15</f>
        <v>0</v>
      </c>
      <c r="S45" s="89">
        <f>S43*S44*Operations!S15</f>
        <v>0</v>
      </c>
      <c r="T45" s="89">
        <f>T43*T44*Operations!T15</f>
        <v>0</v>
      </c>
      <c r="U45" s="89">
        <f>U43*U44*Operations!U15</f>
        <v>0</v>
      </c>
      <c r="V45" s="89">
        <f>V43*V44*Operations!V15</f>
        <v>0</v>
      </c>
      <c r="W45" s="89">
        <f>W43*W44*Operations!W15</f>
        <v>0</v>
      </c>
      <c r="X45" s="90">
        <f>SUM(C45:W45)</f>
        <v>0</v>
      </c>
    </row>
    <row r="47" spans="1:24" ht="16" x14ac:dyDescent="0.2">
      <c r="A47" s="91" t="s">
        <v>403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</row>
    <row r="48" spans="1:24" x14ac:dyDescent="0.2">
      <c r="A48" t="s">
        <v>355</v>
      </c>
      <c r="B48" s="4" t="s">
        <v>378</v>
      </c>
      <c r="C48" s="93">
        <f>Assumptions!$D$129</f>
        <v>0</v>
      </c>
      <c r="D48" s="93">
        <f>Assumptions!$D$129</f>
        <v>0</v>
      </c>
      <c r="E48" s="93">
        <f>Assumptions!$D$129</f>
        <v>0</v>
      </c>
      <c r="F48" s="93">
        <f>Assumptions!$D$129</f>
        <v>0</v>
      </c>
      <c r="G48" s="93">
        <f>Assumptions!$D$129</f>
        <v>0</v>
      </c>
      <c r="H48" s="93">
        <f>Assumptions!$D$129</f>
        <v>0</v>
      </c>
      <c r="I48" s="93">
        <f>Assumptions!$D$129</f>
        <v>0</v>
      </c>
      <c r="J48" s="93">
        <f>Assumptions!$D$129</f>
        <v>0</v>
      </c>
      <c r="K48" s="93">
        <f>Assumptions!$D$129</f>
        <v>0</v>
      </c>
      <c r="L48" s="93">
        <f>Assumptions!$D$129</f>
        <v>0</v>
      </c>
      <c r="M48" s="93">
        <f>Assumptions!$D$129</f>
        <v>0</v>
      </c>
      <c r="N48" s="93">
        <f>Assumptions!$D$129</f>
        <v>0</v>
      </c>
      <c r="O48" s="93">
        <f>Assumptions!$D$129</f>
        <v>0</v>
      </c>
      <c r="P48" s="93">
        <f>Assumptions!$D$129</f>
        <v>0</v>
      </c>
      <c r="Q48" s="93">
        <f>Assumptions!$D$129</f>
        <v>0</v>
      </c>
      <c r="R48" s="93">
        <f>Assumptions!$D$129</f>
        <v>0</v>
      </c>
      <c r="S48" s="93">
        <f>Assumptions!$D$129</f>
        <v>0</v>
      </c>
      <c r="T48" s="93">
        <f>Assumptions!$D$129</f>
        <v>0</v>
      </c>
      <c r="U48" s="93">
        <f>Assumptions!$D$129</f>
        <v>0</v>
      </c>
      <c r="V48" s="93">
        <f>Assumptions!$D$129</f>
        <v>0</v>
      </c>
      <c r="W48" s="93">
        <f>Assumptions!$D$129</f>
        <v>0</v>
      </c>
    </row>
    <row r="49" spans="1:24" x14ac:dyDescent="0.2">
      <c r="A49" t="s">
        <v>357</v>
      </c>
      <c r="B49" s="4" t="s">
        <v>117</v>
      </c>
      <c r="C49" s="85">
        <f>Assumptions!$E$129</f>
        <v>0</v>
      </c>
      <c r="D49" s="85">
        <f>Assumptions!$E$129</f>
        <v>0</v>
      </c>
      <c r="E49" s="85">
        <f>Assumptions!$E$129</f>
        <v>0</v>
      </c>
      <c r="F49" s="85">
        <f>Assumptions!$E$129</f>
        <v>0</v>
      </c>
      <c r="G49" s="85">
        <f>Assumptions!$E$129</f>
        <v>0</v>
      </c>
      <c r="H49" s="85">
        <f>Assumptions!$E$129</f>
        <v>0</v>
      </c>
      <c r="I49" s="85">
        <f>Assumptions!$E$129</f>
        <v>0</v>
      </c>
      <c r="J49" s="85">
        <f>Assumptions!$E$129</f>
        <v>0</v>
      </c>
      <c r="K49" s="85">
        <f>Assumptions!$E$129</f>
        <v>0</v>
      </c>
      <c r="L49" s="85">
        <f>Assumptions!$E$129</f>
        <v>0</v>
      </c>
      <c r="M49" s="85">
        <f>Assumptions!$E$129</f>
        <v>0</v>
      </c>
      <c r="N49" s="85">
        <f>Assumptions!$E$129</f>
        <v>0</v>
      </c>
      <c r="O49" s="85">
        <f>Assumptions!$E$129</f>
        <v>0</v>
      </c>
      <c r="P49" s="85">
        <f>Assumptions!$E$129</f>
        <v>0</v>
      </c>
      <c r="Q49" s="85">
        <f>Assumptions!$E$129</f>
        <v>0</v>
      </c>
      <c r="R49" s="85">
        <f>Assumptions!$E$129</f>
        <v>0</v>
      </c>
      <c r="S49" s="85">
        <f>Assumptions!$E$129</f>
        <v>0</v>
      </c>
      <c r="T49" s="85">
        <f>Assumptions!$E$129</f>
        <v>0</v>
      </c>
      <c r="U49" s="85">
        <f>Assumptions!$E$129</f>
        <v>0</v>
      </c>
      <c r="V49" s="85">
        <f>Assumptions!$E$129</f>
        <v>0</v>
      </c>
      <c r="W49" s="85">
        <f>Assumptions!$E$129</f>
        <v>0</v>
      </c>
    </row>
    <row r="50" spans="1:24" x14ac:dyDescent="0.2">
      <c r="A50" t="s">
        <v>404</v>
      </c>
      <c r="B50" s="4" t="s">
        <v>380</v>
      </c>
      <c r="C50" s="86">
        <f>Operations!C9*C48*C49</f>
        <v>0</v>
      </c>
      <c r="D50" s="86">
        <f>Operations!D9*D48*D49</f>
        <v>0</v>
      </c>
      <c r="E50" s="86">
        <f>Operations!E9*E48*E49</f>
        <v>0</v>
      </c>
      <c r="F50" s="86">
        <f>Operations!F9*F48*F49</f>
        <v>0</v>
      </c>
      <c r="G50" s="86">
        <f>Operations!G9*G48*G49</f>
        <v>0</v>
      </c>
      <c r="H50" s="86">
        <f>Operations!H9*H48*H49</f>
        <v>0</v>
      </c>
      <c r="I50" s="86">
        <f>Operations!I9*I48*I49</f>
        <v>0</v>
      </c>
      <c r="J50" s="86">
        <f>Operations!J9*J48*J49</f>
        <v>0</v>
      </c>
      <c r="K50" s="86">
        <f>Operations!K9*K48*K49</f>
        <v>0</v>
      </c>
      <c r="L50" s="86">
        <f>Operations!L9*L48*L49</f>
        <v>0</v>
      </c>
      <c r="M50" s="86">
        <f>Operations!M9*M48*M49</f>
        <v>0</v>
      </c>
      <c r="N50" s="86">
        <f>Operations!N9*N48*N49</f>
        <v>0</v>
      </c>
      <c r="O50" s="86">
        <f>Operations!O9*O48*O49</f>
        <v>0</v>
      </c>
      <c r="P50" s="86">
        <f>Operations!P9*P48*P49</f>
        <v>0</v>
      </c>
      <c r="Q50" s="86">
        <f>Operations!Q9*Q48*Q49</f>
        <v>0</v>
      </c>
      <c r="R50" s="86">
        <f>Operations!R9*R48*R49</f>
        <v>0</v>
      </c>
      <c r="S50" s="86">
        <f>Operations!S9*S48*S49</f>
        <v>0</v>
      </c>
      <c r="T50" s="86">
        <f>Operations!T9*T48*T49</f>
        <v>0</v>
      </c>
      <c r="U50" s="86">
        <f>Operations!U9*U48*U49</f>
        <v>0</v>
      </c>
      <c r="V50" s="86">
        <f>Operations!V9*V48*V49</f>
        <v>0</v>
      </c>
      <c r="W50" s="86">
        <f>Operations!W9*W48*W49</f>
        <v>0</v>
      </c>
      <c r="X50" s="87">
        <f>SUM(C50:W50)</f>
        <v>0</v>
      </c>
    </row>
    <row r="51" spans="1:24" x14ac:dyDescent="0.2">
      <c r="A51" t="s">
        <v>405</v>
      </c>
      <c r="B51" s="4" t="s">
        <v>240</v>
      </c>
      <c r="C51" s="40">
        <f>Assumptions!$B$129</f>
        <v>28000</v>
      </c>
      <c r="D51" s="88">
        <f>C51*(1+Assumptions!$C$129)</f>
        <v>28560</v>
      </c>
      <c r="E51" s="88">
        <f>D51*(1+Assumptions!$C$129)</f>
        <v>29131.200000000001</v>
      </c>
      <c r="F51" s="88">
        <f>E51*(1+Assumptions!$C$129)</f>
        <v>29713.824000000001</v>
      </c>
      <c r="G51" s="88">
        <f>F51*(1+Assumptions!$C$129)</f>
        <v>30308.100480000001</v>
      </c>
      <c r="H51" s="88">
        <f>G51*(1+Assumptions!$C$129)</f>
        <v>30914.262489600002</v>
      </c>
      <c r="I51" s="88">
        <f>H51*(1+Assumptions!$C$129)</f>
        <v>31532.547739392001</v>
      </c>
      <c r="J51" s="88">
        <f>I51*(1+Assumptions!$C$129)</f>
        <v>32163.198694179842</v>
      </c>
      <c r="K51" s="88">
        <f>J51*(1+Assumptions!$C$129)</f>
        <v>32806.462668063439</v>
      </c>
      <c r="L51" s="88">
        <f>K51*(1+Assumptions!$C$129)</f>
        <v>33462.591921424711</v>
      </c>
      <c r="M51" s="88">
        <f>L51*(1+Assumptions!$C$129)</f>
        <v>34131.843759853204</v>
      </c>
      <c r="N51" s="88">
        <f>M51*(1+Assumptions!$C$129)</f>
        <v>34814.480635050269</v>
      </c>
      <c r="O51" s="88">
        <f>N51*(1+Assumptions!$C$129)</f>
        <v>35510.770247751272</v>
      </c>
      <c r="P51" s="88">
        <f>O51*(1+Assumptions!$C$129)</f>
        <v>36220.985652706295</v>
      </c>
      <c r="Q51" s="88">
        <f>P51*(1+Assumptions!$C$129)</f>
        <v>36945.405365760424</v>
      </c>
      <c r="R51" s="88">
        <f>Q51*(1+Assumptions!$C$129)</f>
        <v>37684.313473075636</v>
      </c>
      <c r="S51" s="88">
        <f>R51*(1+Assumptions!$C$129)</f>
        <v>38437.999742537148</v>
      </c>
      <c r="T51" s="88">
        <f>S51*(1+Assumptions!$C$129)</f>
        <v>39206.759737387889</v>
      </c>
      <c r="U51" s="88">
        <f>T51*(1+Assumptions!$C$129)</f>
        <v>39990.894932135649</v>
      </c>
      <c r="V51" s="88">
        <f>U51*(1+Assumptions!$C$129)</f>
        <v>40790.712830778364</v>
      </c>
      <c r="W51" s="88">
        <f>V51*(1+Assumptions!$C$129)</f>
        <v>41606.52708739393</v>
      </c>
    </row>
    <row r="52" spans="1:24" x14ac:dyDescent="0.2">
      <c r="A52" s="68" t="s">
        <v>406</v>
      </c>
      <c r="B52" s="70" t="s">
        <v>88</v>
      </c>
      <c r="C52" s="89">
        <f>C50*C51*Operations!C15</f>
        <v>0</v>
      </c>
      <c r="D52" s="89">
        <f>D50*D51*Operations!D15</f>
        <v>0</v>
      </c>
      <c r="E52" s="89">
        <f>E50*E51*Operations!E15</f>
        <v>0</v>
      </c>
      <c r="F52" s="89">
        <f>F50*F51*Operations!F15</f>
        <v>0</v>
      </c>
      <c r="G52" s="89">
        <f>G50*G51*Operations!G15</f>
        <v>0</v>
      </c>
      <c r="H52" s="89">
        <f>H50*H51*Operations!H15</f>
        <v>0</v>
      </c>
      <c r="I52" s="89">
        <f>I50*I51*Operations!I15</f>
        <v>0</v>
      </c>
      <c r="J52" s="89">
        <f>J50*J51*Operations!J15</f>
        <v>0</v>
      </c>
      <c r="K52" s="89">
        <f>K50*K51*Operations!K15</f>
        <v>0</v>
      </c>
      <c r="L52" s="89">
        <f>L50*L51*Operations!L15</f>
        <v>0</v>
      </c>
      <c r="M52" s="89">
        <f>M50*M51*Operations!M15</f>
        <v>0</v>
      </c>
      <c r="N52" s="89">
        <f>N50*N51*Operations!N15</f>
        <v>0</v>
      </c>
      <c r="O52" s="89">
        <f>O50*O51*Operations!O15</f>
        <v>0</v>
      </c>
      <c r="P52" s="89">
        <f>P50*P51*Operations!P15</f>
        <v>0</v>
      </c>
      <c r="Q52" s="89">
        <f>Q50*Q51*Operations!Q15</f>
        <v>0</v>
      </c>
      <c r="R52" s="89">
        <f>R50*R51*Operations!R15</f>
        <v>0</v>
      </c>
      <c r="S52" s="89">
        <f>S50*S51*Operations!S15</f>
        <v>0</v>
      </c>
      <c r="T52" s="89">
        <f>T50*T51*Operations!T15</f>
        <v>0</v>
      </c>
      <c r="U52" s="89">
        <f>U50*U51*Operations!U15</f>
        <v>0</v>
      </c>
      <c r="V52" s="89">
        <f>V50*V51*Operations!V15</f>
        <v>0</v>
      </c>
      <c r="W52" s="89">
        <f>W50*W51*Operations!W15</f>
        <v>0</v>
      </c>
      <c r="X52" s="90">
        <f>SUM(C52:W52)</f>
        <v>0</v>
      </c>
    </row>
    <row r="54" spans="1:24" ht="16" x14ac:dyDescent="0.2">
      <c r="A54" s="91" t="s">
        <v>407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</row>
    <row r="55" spans="1:24" x14ac:dyDescent="0.2">
      <c r="A55" t="s">
        <v>355</v>
      </c>
      <c r="B55" s="4" t="s">
        <v>251</v>
      </c>
      <c r="C55" s="84">
        <f>Assumptions!$D$130</f>
        <v>0</v>
      </c>
      <c r="D55" s="84">
        <f>Assumptions!$D$130</f>
        <v>0</v>
      </c>
      <c r="E55" s="84">
        <f>Assumptions!$D$130</f>
        <v>0</v>
      </c>
      <c r="F55" s="84">
        <f>Assumptions!$D$130</f>
        <v>0</v>
      </c>
      <c r="G55" s="84">
        <f>Assumptions!$D$130</f>
        <v>0</v>
      </c>
      <c r="H55" s="84">
        <f>Assumptions!$D$130</f>
        <v>0</v>
      </c>
      <c r="I55" s="84">
        <f>Assumptions!$D$130</f>
        <v>0</v>
      </c>
      <c r="J55" s="84">
        <f>Assumptions!$D$130</f>
        <v>0</v>
      </c>
      <c r="K55" s="84">
        <f>Assumptions!$D$130</f>
        <v>0</v>
      </c>
      <c r="L55" s="84">
        <f>Assumptions!$D$130</f>
        <v>0</v>
      </c>
      <c r="M55" s="84">
        <f>Assumptions!$D$130</f>
        <v>0</v>
      </c>
      <c r="N55" s="84">
        <f>Assumptions!$D$130</f>
        <v>0</v>
      </c>
      <c r="O55" s="84">
        <f>Assumptions!$D$130</f>
        <v>0</v>
      </c>
      <c r="P55" s="84">
        <f>Assumptions!$D$130</f>
        <v>0</v>
      </c>
      <c r="Q55" s="84">
        <f>Assumptions!$D$130</f>
        <v>0</v>
      </c>
      <c r="R55" s="84">
        <f>Assumptions!$D$130</f>
        <v>0</v>
      </c>
      <c r="S55" s="84">
        <f>Assumptions!$D$130</f>
        <v>0</v>
      </c>
      <c r="T55" s="84">
        <f>Assumptions!$D$130</f>
        <v>0</v>
      </c>
      <c r="U55" s="84">
        <f>Assumptions!$D$130</f>
        <v>0</v>
      </c>
      <c r="V55" s="84">
        <f>Assumptions!$D$130</f>
        <v>0</v>
      </c>
      <c r="W55" s="84">
        <f>Assumptions!$D$130</f>
        <v>0</v>
      </c>
    </row>
    <row r="56" spans="1:24" x14ac:dyDescent="0.2">
      <c r="A56" t="s">
        <v>357</v>
      </c>
      <c r="B56" s="4" t="s">
        <v>117</v>
      </c>
      <c r="C56" s="85">
        <f>Assumptions!$E$130</f>
        <v>0</v>
      </c>
      <c r="D56" s="85">
        <f>Assumptions!$E$130</f>
        <v>0</v>
      </c>
      <c r="E56" s="85">
        <f>Assumptions!$E$130</f>
        <v>0</v>
      </c>
      <c r="F56" s="85">
        <f>Assumptions!$E$130</f>
        <v>0</v>
      </c>
      <c r="G56" s="85">
        <f>Assumptions!$E$130</f>
        <v>0</v>
      </c>
      <c r="H56" s="85">
        <f>Assumptions!$E$130</f>
        <v>0</v>
      </c>
      <c r="I56" s="85">
        <f>Assumptions!$E$130</f>
        <v>0</v>
      </c>
      <c r="J56" s="85">
        <f>Assumptions!$E$130</f>
        <v>0</v>
      </c>
      <c r="K56" s="85">
        <f>Assumptions!$E$130</f>
        <v>0</v>
      </c>
      <c r="L56" s="85">
        <f>Assumptions!$E$130</f>
        <v>0</v>
      </c>
      <c r="M56" s="85">
        <f>Assumptions!$E$130</f>
        <v>0</v>
      </c>
      <c r="N56" s="85">
        <f>Assumptions!$E$130</f>
        <v>0</v>
      </c>
      <c r="O56" s="85">
        <f>Assumptions!$E$130</f>
        <v>0</v>
      </c>
      <c r="P56" s="85">
        <f>Assumptions!$E$130</f>
        <v>0</v>
      </c>
      <c r="Q56" s="85">
        <f>Assumptions!$E$130</f>
        <v>0</v>
      </c>
      <c r="R56" s="85">
        <f>Assumptions!$E$130</f>
        <v>0</v>
      </c>
      <c r="S56" s="85">
        <f>Assumptions!$E$130</f>
        <v>0</v>
      </c>
      <c r="T56" s="85">
        <f>Assumptions!$E$130</f>
        <v>0</v>
      </c>
      <c r="U56" s="85">
        <f>Assumptions!$E$130</f>
        <v>0</v>
      </c>
      <c r="V56" s="85">
        <f>Assumptions!$E$130</f>
        <v>0</v>
      </c>
      <c r="W56" s="85">
        <f>Assumptions!$E$130</f>
        <v>0</v>
      </c>
    </row>
    <row r="57" spans="1:24" x14ac:dyDescent="0.2">
      <c r="A57" t="s">
        <v>408</v>
      </c>
      <c r="B57" s="4" t="s">
        <v>337</v>
      </c>
      <c r="C57" s="86">
        <f>Operations!C9*C55*C56</f>
        <v>0</v>
      </c>
      <c r="D57" s="86">
        <f>Operations!D9*D55*D56</f>
        <v>0</v>
      </c>
      <c r="E57" s="86">
        <f>Operations!E9*E55*E56</f>
        <v>0</v>
      </c>
      <c r="F57" s="86">
        <f>Operations!F9*F55*F56</f>
        <v>0</v>
      </c>
      <c r="G57" s="86">
        <f>Operations!G9*G55*G56</f>
        <v>0</v>
      </c>
      <c r="H57" s="86">
        <f>Operations!H9*H55*H56</f>
        <v>0</v>
      </c>
      <c r="I57" s="86">
        <f>Operations!I9*I55*I56</f>
        <v>0</v>
      </c>
      <c r="J57" s="86">
        <f>Operations!J9*J55*J56</f>
        <v>0</v>
      </c>
      <c r="K57" s="86">
        <f>Operations!K9*K55*K56</f>
        <v>0</v>
      </c>
      <c r="L57" s="86">
        <f>Operations!L9*L55*L56</f>
        <v>0</v>
      </c>
      <c r="M57" s="86">
        <f>Operations!M9*M55*M56</f>
        <v>0</v>
      </c>
      <c r="N57" s="86">
        <f>Operations!N9*N55*N56</f>
        <v>0</v>
      </c>
      <c r="O57" s="86">
        <f>Operations!O9*O55*O56</f>
        <v>0</v>
      </c>
      <c r="P57" s="86">
        <f>Operations!P9*P55*P56</f>
        <v>0</v>
      </c>
      <c r="Q57" s="86">
        <f>Operations!Q9*Q55*Q56</f>
        <v>0</v>
      </c>
      <c r="R57" s="86">
        <f>Operations!R9*R55*R56</f>
        <v>0</v>
      </c>
      <c r="S57" s="86">
        <f>Operations!S9*S55*S56</f>
        <v>0</v>
      </c>
      <c r="T57" s="86">
        <f>Operations!T9*T55*T56</f>
        <v>0</v>
      </c>
      <c r="U57" s="86">
        <f>Operations!U9*U55*U56</f>
        <v>0</v>
      </c>
      <c r="V57" s="86">
        <f>Operations!V9*V55*V56</f>
        <v>0</v>
      </c>
      <c r="W57" s="86">
        <f>Operations!W9*W55*W56</f>
        <v>0</v>
      </c>
      <c r="X57" s="87">
        <f>SUM(C57:W57)</f>
        <v>0</v>
      </c>
    </row>
    <row r="58" spans="1:24" x14ac:dyDescent="0.2">
      <c r="A58" t="s">
        <v>409</v>
      </c>
      <c r="B58" s="4" t="s">
        <v>250</v>
      </c>
      <c r="C58" s="40">
        <f>Assumptions!$B$130</f>
        <v>85</v>
      </c>
      <c r="D58" s="88">
        <f>C58*(1+Assumptions!$C$130)</f>
        <v>87.55</v>
      </c>
      <c r="E58" s="88">
        <f>D58*(1+Assumptions!$C$130)</f>
        <v>90.176500000000004</v>
      </c>
      <c r="F58" s="88">
        <f>E58*(1+Assumptions!$C$130)</f>
        <v>92.881795000000011</v>
      </c>
      <c r="G58" s="88">
        <f>F58*(1+Assumptions!$C$130)</f>
        <v>95.668248850000012</v>
      </c>
      <c r="H58" s="88">
        <f>G58*(1+Assumptions!$C$130)</f>
        <v>98.53829631550002</v>
      </c>
      <c r="I58" s="88">
        <f>H58*(1+Assumptions!$C$130)</f>
        <v>101.49444520496502</v>
      </c>
      <c r="J58" s="88">
        <f>I58*(1+Assumptions!$C$130)</f>
        <v>104.53927856111397</v>
      </c>
      <c r="K58" s="88">
        <f>J58*(1+Assumptions!$C$130)</f>
        <v>107.6754569179474</v>
      </c>
      <c r="L58" s="88">
        <f>K58*(1+Assumptions!$C$130)</f>
        <v>110.90572062548583</v>
      </c>
      <c r="M58" s="88">
        <f>L58*(1+Assumptions!$C$130)</f>
        <v>114.23289224425041</v>
      </c>
      <c r="N58" s="88">
        <f>M58*(1+Assumptions!$C$130)</f>
        <v>117.65987901157793</v>
      </c>
      <c r="O58" s="88">
        <f>N58*(1+Assumptions!$C$130)</f>
        <v>121.18967538192527</v>
      </c>
      <c r="P58" s="88">
        <f>O58*(1+Assumptions!$C$130)</f>
        <v>124.82536564338304</v>
      </c>
      <c r="Q58" s="88">
        <f>P58*(1+Assumptions!$C$130)</f>
        <v>128.57012661268453</v>
      </c>
      <c r="R58" s="88">
        <f>Q58*(1+Assumptions!$C$130)</f>
        <v>132.42723041106507</v>
      </c>
      <c r="S58" s="88">
        <f>R58*(1+Assumptions!$C$130)</f>
        <v>136.40004732339702</v>
      </c>
      <c r="T58" s="88">
        <f>S58*(1+Assumptions!$C$130)</f>
        <v>140.49204874309893</v>
      </c>
      <c r="U58" s="88">
        <f>T58*(1+Assumptions!$C$130)</f>
        <v>144.70681020539192</v>
      </c>
      <c r="V58" s="88">
        <f>U58*(1+Assumptions!$C$130)</f>
        <v>149.04801451155367</v>
      </c>
      <c r="W58" s="88">
        <f>V58*(1+Assumptions!$C$130)</f>
        <v>153.51945494690028</v>
      </c>
    </row>
    <row r="59" spans="1:24" x14ac:dyDescent="0.2">
      <c r="A59" s="68" t="s">
        <v>410</v>
      </c>
      <c r="B59" s="70" t="s">
        <v>88</v>
      </c>
      <c r="C59" s="89">
        <f>C57*2.20462*C58*Operations!C15</f>
        <v>0</v>
      </c>
      <c r="D59" s="89">
        <f>D57*2.20462*D58*Operations!D15</f>
        <v>0</v>
      </c>
      <c r="E59" s="89">
        <f>E57*2.20462*E58*Operations!E15</f>
        <v>0</v>
      </c>
      <c r="F59" s="89">
        <f>F57*2.20462*F58*Operations!F15</f>
        <v>0</v>
      </c>
      <c r="G59" s="89">
        <f>G57*2.20462*G58*Operations!G15</f>
        <v>0</v>
      </c>
      <c r="H59" s="89">
        <f>H57*2.20462*H58*Operations!H15</f>
        <v>0</v>
      </c>
      <c r="I59" s="89">
        <f>I57*2.20462*I58*Operations!I15</f>
        <v>0</v>
      </c>
      <c r="J59" s="89">
        <f>J57*2.20462*J58*Operations!J15</f>
        <v>0</v>
      </c>
      <c r="K59" s="89">
        <f>K57*2.20462*K58*Operations!K15</f>
        <v>0</v>
      </c>
      <c r="L59" s="89">
        <f>L57*2.20462*L58*Operations!L15</f>
        <v>0</v>
      </c>
      <c r="M59" s="89">
        <f>M57*2.20462*M58*Operations!M15</f>
        <v>0</v>
      </c>
      <c r="N59" s="89">
        <f>N57*2.20462*N58*Operations!N15</f>
        <v>0</v>
      </c>
      <c r="O59" s="89">
        <f>O57*2.20462*O58*Operations!O15</f>
        <v>0</v>
      </c>
      <c r="P59" s="89">
        <f>P57*2.20462*P58*Operations!P15</f>
        <v>0</v>
      </c>
      <c r="Q59" s="89">
        <f>Q57*2.20462*Q58*Operations!Q15</f>
        <v>0</v>
      </c>
      <c r="R59" s="89">
        <f>R57*2.20462*R58*Operations!R15</f>
        <v>0</v>
      </c>
      <c r="S59" s="89">
        <f>S57*2.20462*S58*Operations!S15</f>
        <v>0</v>
      </c>
      <c r="T59" s="89">
        <f>T57*2.20462*T58*Operations!T15</f>
        <v>0</v>
      </c>
      <c r="U59" s="89">
        <f>U57*2.20462*U58*Operations!U15</f>
        <v>0</v>
      </c>
      <c r="V59" s="89">
        <f>V57*2.20462*V58*Operations!V15</f>
        <v>0</v>
      </c>
      <c r="W59" s="89">
        <f>W57*2.20462*W58*Operations!W15</f>
        <v>0</v>
      </c>
      <c r="X59" s="90">
        <f>SUM(C59:W59)</f>
        <v>0</v>
      </c>
    </row>
    <row r="61" spans="1:24" x14ac:dyDescent="0.2">
      <c r="A61" s="68" t="s">
        <v>411</v>
      </c>
      <c r="B61" s="70" t="s">
        <v>88</v>
      </c>
      <c r="C61" s="90">
        <f t="shared" ref="C61:W61" si="0">C10+C17+C24+C31+C38+C45+C52+C59</f>
        <v>0</v>
      </c>
      <c r="D61" s="90">
        <f t="shared" si="0"/>
        <v>313479997.875</v>
      </c>
      <c r="E61" s="90">
        <f t="shared" si="0"/>
        <v>651498526.02729607</v>
      </c>
      <c r="F61" s="90">
        <f t="shared" si="0"/>
        <v>855580439.30534661</v>
      </c>
      <c r="G61" s="90">
        <f t="shared" si="0"/>
        <v>898872809.53419709</v>
      </c>
      <c r="H61" s="90">
        <f t="shared" si="0"/>
        <v>666604075.55056071</v>
      </c>
      <c r="I61" s="90">
        <f t="shared" si="0"/>
        <v>992140175.84567678</v>
      </c>
      <c r="J61" s="90">
        <f t="shared" si="0"/>
        <v>1042342468.743468</v>
      </c>
      <c r="K61" s="90">
        <f t="shared" si="0"/>
        <v>1095084997.6618876</v>
      </c>
      <c r="L61" s="90">
        <f t="shared" si="0"/>
        <v>1150496298.5435791</v>
      </c>
      <c r="M61" s="90">
        <f t="shared" si="0"/>
        <v>248852349.37497619</v>
      </c>
      <c r="N61" s="90">
        <f t="shared" si="0"/>
        <v>0</v>
      </c>
      <c r="O61" s="90">
        <f t="shared" si="0"/>
        <v>0</v>
      </c>
      <c r="P61" s="90">
        <f t="shared" si="0"/>
        <v>0</v>
      </c>
      <c r="Q61" s="90">
        <f t="shared" si="0"/>
        <v>0</v>
      </c>
      <c r="R61" s="90">
        <f t="shared" si="0"/>
        <v>0</v>
      </c>
      <c r="S61" s="90">
        <f t="shared" si="0"/>
        <v>0</v>
      </c>
      <c r="T61" s="90">
        <f t="shared" si="0"/>
        <v>0</v>
      </c>
      <c r="U61" s="90">
        <f t="shared" si="0"/>
        <v>0</v>
      </c>
      <c r="V61" s="90">
        <f t="shared" si="0"/>
        <v>0</v>
      </c>
      <c r="W61" s="90">
        <f t="shared" si="0"/>
        <v>0</v>
      </c>
      <c r="X61" s="90">
        <f>SUM(C61:W61)</f>
        <v>7914952138.4619875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5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6" customWidth="1"/>
    <col min="2" max="2" width="12" customWidth="1"/>
    <col min="3" max="24" width="15" customWidth="1"/>
  </cols>
  <sheetData>
    <row r="1" spans="1:24" ht="18" x14ac:dyDescent="0.2">
      <c r="A1" s="80" t="s">
        <v>412</v>
      </c>
    </row>
    <row r="2" spans="1:24" x14ac:dyDescent="0.2">
      <c r="A2" s="50" t="s">
        <v>413</v>
      </c>
    </row>
    <row r="3" spans="1:24" x14ac:dyDescent="0.2">
      <c r="C3" s="81" t="s">
        <v>304</v>
      </c>
      <c r="D3" s="81" t="s">
        <v>305</v>
      </c>
      <c r="E3" s="81" t="s">
        <v>306</v>
      </c>
      <c r="F3" s="81" t="s">
        <v>307</v>
      </c>
      <c r="G3" s="81" t="s">
        <v>308</v>
      </c>
      <c r="H3" s="81" t="s">
        <v>309</v>
      </c>
      <c r="I3" s="81" t="s">
        <v>310</v>
      </c>
      <c r="J3" s="81" t="s">
        <v>311</v>
      </c>
      <c r="K3" s="81" t="s">
        <v>312</v>
      </c>
      <c r="L3" s="81" t="s">
        <v>313</v>
      </c>
      <c r="M3" s="81" t="s">
        <v>314</v>
      </c>
      <c r="N3" s="81" t="s">
        <v>315</v>
      </c>
      <c r="O3" s="81" t="s">
        <v>316</v>
      </c>
      <c r="P3" s="81" t="s">
        <v>317</v>
      </c>
      <c r="Q3" s="81" t="s">
        <v>318</v>
      </c>
      <c r="R3" s="81" t="s">
        <v>319</v>
      </c>
      <c r="S3" s="81" t="s">
        <v>320</v>
      </c>
      <c r="T3" s="81" t="s">
        <v>321</v>
      </c>
      <c r="U3" s="81" t="s">
        <v>322</v>
      </c>
      <c r="V3" s="81" t="s">
        <v>323</v>
      </c>
      <c r="W3" s="81" t="s">
        <v>324</v>
      </c>
      <c r="X3" s="81" t="s">
        <v>124</v>
      </c>
    </row>
    <row r="5" spans="1:24" ht="16" x14ac:dyDescent="0.2">
      <c r="A5" s="82" t="s">
        <v>414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</row>
    <row r="6" spans="1:24" x14ac:dyDescent="0.2">
      <c r="A6" t="s">
        <v>225</v>
      </c>
      <c r="B6" s="4" t="s">
        <v>88</v>
      </c>
      <c r="C6" s="79">
        <f>'Precious Metals'!C11</f>
        <v>0</v>
      </c>
      <c r="D6" s="79">
        <f>'Precious Metals'!D11</f>
        <v>30931790.634494513</v>
      </c>
      <c r="E6" s="79">
        <f>'Precious Metals'!E11</f>
        <v>64284854.352314055</v>
      </c>
      <c r="F6" s="79">
        <f>'Precious Metals'!F11</f>
        <v>84422084.97817643</v>
      </c>
      <c r="G6" s="79">
        <f>'Precious Metals'!G11</f>
        <v>88693842.478072152</v>
      </c>
      <c r="H6" s="79">
        <f>'Precious Metals'!H11</f>
        <v>65775353.581738338</v>
      </c>
      <c r="I6" s="79">
        <f>'Precious Metals'!I11</f>
        <v>97896747.503380239</v>
      </c>
      <c r="J6" s="79">
        <f>'Precious Metals'!J11</f>
        <v>102850322.92705129</v>
      </c>
      <c r="K6" s="79">
        <f>'Precious Metals'!K11</f>
        <v>108054549.26716007</v>
      </c>
      <c r="L6" s="79">
        <f>'Precious Metals'!L11</f>
        <v>113522109.46007839</v>
      </c>
      <c r="M6" s="79">
        <f>'Precious Metals'!M11</f>
        <v>24554832.276214957</v>
      </c>
      <c r="N6" s="79">
        <f>'Precious Metals'!N11</f>
        <v>0</v>
      </c>
      <c r="O6" s="79">
        <f>'Precious Metals'!O11</f>
        <v>0</v>
      </c>
      <c r="P6" s="79">
        <f>'Precious Metals'!P11</f>
        <v>0</v>
      </c>
      <c r="Q6" s="79">
        <f>'Precious Metals'!Q11</f>
        <v>0</v>
      </c>
      <c r="R6" s="79">
        <f>'Precious Metals'!R11</f>
        <v>0</v>
      </c>
      <c r="S6" s="79">
        <f>'Precious Metals'!S11</f>
        <v>0</v>
      </c>
      <c r="T6" s="79">
        <f>'Precious Metals'!T11</f>
        <v>0</v>
      </c>
      <c r="U6" s="79">
        <f>'Precious Metals'!U11</f>
        <v>0</v>
      </c>
      <c r="V6" s="79">
        <f>'Precious Metals'!V11</f>
        <v>0</v>
      </c>
      <c r="W6" s="79">
        <f>'Precious Metals'!W11</f>
        <v>0</v>
      </c>
      <c r="X6" s="87">
        <f>SUM(C6:W6)</f>
        <v>780986487.45868051</v>
      </c>
    </row>
    <row r="7" spans="1:24" x14ac:dyDescent="0.2">
      <c r="A7" t="s">
        <v>227</v>
      </c>
      <c r="B7" s="4" t="s">
        <v>88</v>
      </c>
      <c r="C7" s="79">
        <f>'Precious Metals'!C19</f>
        <v>0</v>
      </c>
      <c r="D7" s="79">
        <f>'Precious Metals'!D19</f>
        <v>0</v>
      </c>
      <c r="E7" s="79">
        <f>'Precious Metals'!E19</f>
        <v>0</v>
      </c>
      <c r="F7" s="79">
        <f>'Precious Metals'!F19</f>
        <v>0</v>
      </c>
      <c r="G7" s="79">
        <f>'Precious Metals'!G19</f>
        <v>0</v>
      </c>
      <c r="H7" s="79">
        <f>'Precious Metals'!H19</f>
        <v>0</v>
      </c>
      <c r="I7" s="79">
        <f>'Precious Metals'!I19</f>
        <v>0</v>
      </c>
      <c r="J7" s="79">
        <f>'Precious Metals'!J19</f>
        <v>0</v>
      </c>
      <c r="K7" s="79">
        <f>'Precious Metals'!K19</f>
        <v>0</v>
      </c>
      <c r="L7" s="79">
        <f>'Precious Metals'!L19</f>
        <v>0</v>
      </c>
      <c r="M7" s="79">
        <f>'Precious Metals'!M19</f>
        <v>0</v>
      </c>
      <c r="N7" s="79">
        <f>'Precious Metals'!N19</f>
        <v>0</v>
      </c>
      <c r="O7" s="79">
        <f>'Precious Metals'!O19</f>
        <v>0</v>
      </c>
      <c r="P7" s="79">
        <f>'Precious Metals'!P19</f>
        <v>0</v>
      </c>
      <c r="Q7" s="79">
        <f>'Precious Metals'!Q19</f>
        <v>0</v>
      </c>
      <c r="R7" s="79">
        <f>'Precious Metals'!R19</f>
        <v>0</v>
      </c>
      <c r="S7" s="79">
        <f>'Precious Metals'!S19</f>
        <v>0</v>
      </c>
      <c r="T7" s="79">
        <f>'Precious Metals'!T19</f>
        <v>0</v>
      </c>
      <c r="U7" s="79">
        <f>'Precious Metals'!U19</f>
        <v>0</v>
      </c>
      <c r="V7" s="79">
        <f>'Precious Metals'!V19</f>
        <v>0</v>
      </c>
      <c r="W7" s="79">
        <f>'Precious Metals'!W19</f>
        <v>0</v>
      </c>
      <c r="X7" s="87">
        <f>SUM(C7:W7)</f>
        <v>0</v>
      </c>
    </row>
    <row r="8" spans="1:24" x14ac:dyDescent="0.2">
      <c r="A8" t="s">
        <v>229</v>
      </c>
      <c r="B8" s="4" t="s">
        <v>88</v>
      </c>
      <c r="C8" s="79">
        <f>'Precious Metals'!C27</f>
        <v>0</v>
      </c>
      <c r="D8" s="79">
        <f>'Precious Metals'!D27</f>
        <v>0</v>
      </c>
      <c r="E8" s="79">
        <f>'Precious Metals'!E27</f>
        <v>0</v>
      </c>
      <c r="F8" s="79">
        <f>'Precious Metals'!F27</f>
        <v>0</v>
      </c>
      <c r="G8" s="79">
        <f>'Precious Metals'!G27</f>
        <v>0</v>
      </c>
      <c r="H8" s="79">
        <f>'Precious Metals'!H27</f>
        <v>0</v>
      </c>
      <c r="I8" s="79">
        <f>'Precious Metals'!I27</f>
        <v>0</v>
      </c>
      <c r="J8" s="79">
        <f>'Precious Metals'!J27</f>
        <v>0</v>
      </c>
      <c r="K8" s="79">
        <f>'Precious Metals'!K27</f>
        <v>0</v>
      </c>
      <c r="L8" s="79">
        <f>'Precious Metals'!L27</f>
        <v>0</v>
      </c>
      <c r="M8" s="79">
        <f>'Precious Metals'!M27</f>
        <v>0</v>
      </c>
      <c r="N8" s="79">
        <f>'Precious Metals'!N27</f>
        <v>0</v>
      </c>
      <c r="O8" s="79">
        <f>'Precious Metals'!O27</f>
        <v>0</v>
      </c>
      <c r="P8" s="79">
        <f>'Precious Metals'!P27</f>
        <v>0</v>
      </c>
      <c r="Q8" s="79">
        <f>'Precious Metals'!Q27</f>
        <v>0</v>
      </c>
      <c r="R8" s="79">
        <f>'Precious Metals'!R27</f>
        <v>0</v>
      </c>
      <c r="S8" s="79">
        <f>'Precious Metals'!S27</f>
        <v>0</v>
      </c>
      <c r="T8" s="79">
        <f>'Precious Metals'!T27</f>
        <v>0</v>
      </c>
      <c r="U8" s="79">
        <f>'Precious Metals'!U27</f>
        <v>0</v>
      </c>
      <c r="V8" s="79">
        <f>'Precious Metals'!V27</f>
        <v>0</v>
      </c>
      <c r="W8" s="79">
        <f>'Precious Metals'!W27</f>
        <v>0</v>
      </c>
      <c r="X8" s="87">
        <f>SUM(C8:W8)</f>
        <v>0</v>
      </c>
    </row>
    <row r="9" spans="1:24" x14ac:dyDescent="0.2">
      <c r="A9" t="s">
        <v>231</v>
      </c>
      <c r="B9" s="4" t="s">
        <v>88</v>
      </c>
      <c r="C9" s="79">
        <f>'Precious Metals'!C35</f>
        <v>0</v>
      </c>
      <c r="D9" s="79">
        <f>'Precious Metals'!D35</f>
        <v>0</v>
      </c>
      <c r="E9" s="79">
        <f>'Precious Metals'!E35</f>
        <v>0</v>
      </c>
      <c r="F9" s="79">
        <f>'Precious Metals'!F35</f>
        <v>0</v>
      </c>
      <c r="G9" s="79">
        <f>'Precious Metals'!G35</f>
        <v>0</v>
      </c>
      <c r="H9" s="79">
        <f>'Precious Metals'!H35</f>
        <v>0</v>
      </c>
      <c r="I9" s="79">
        <f>'Precious Metals'!I35</f>
        <v>0</v>
      </c>
      <c r="J9" s="79">
        <f>'Precious Metals'!J35</f>
        <v>0</v>
      </c>
      <c r="K9" s="79">
        <f>'Precious Metals'!K35</f>
        <v>0</v>
      </c>
      <c r="L9" s="79">
        <f>'Precious Metals'!L35</f>
        <v>0</v>
      </c>
      <c r="M9" s="79">
        <f>'Precious Metals'!M35</f>
        <v>0</v>
      </c>
      <c r="N9" s="79">
        <f>'Precious Metals'!N35</f>
        <v>0</v>
      </c>
      <c r="O9" s="79">
        <f>'Precious Metals'!O35</f>
        <v>0</v>
      </c>
      <c r="P9" s="79">
        <f>'Precious Metals'!P35</f>
        <v>0</v>
      </c>
      <c r="Q9" s="79">
        <f>'Precious Metals'!Q35</f>
        <v>0</v>
      </c>
      <c r="R9" s="79">
        <f>'Precious Metals'!R35</f>
        <v>0</v>
      </c>
      <c r="S9" s="79">
        <f>'Precious Metals'!S35</f>
        <v>0</v>
      </c>
      <c r="T9" s="79">
        <f>'Precious Metals'!T35</f>
        <v>0</v>
      </c>
      <c r="U9" s="79">
        <f>'Precious Metals'!U35</f>
        <v>0</v>
      </c>
      <c r="V9" s="79">
        <f>'Precious Metals'!V35</f>
        <v>0</v>
      </c>
      <c r="W9" s="79">
        <f>'Precious Metals'!W35</f>
        <v>0</v>
      </c>
      <c r="X9" s="87">
        <f>SUM(C9:W9)</f>
        <v>0</v>
      </c>
    </row>
    <row r="10" spans="1:24" x14ac:dyDescent="0.2">
      <c r="A10" s="68" t="s">
        <v>415</v>
      </c>
      <c r="B10" s="70" t="s">
        <v>88</v>
      </c>
      <c r="C10" s="90">
        <f t="shared" ref="C10:X10" si="0">C6+C7+C8+C9</f>
        <v>0</v>
      </c>
      <c r="D10" s="90">
        <f t="shared" si="0"/>
        <v>30931790.634494513</v>
      </c>
      <c r="E10" s="90">
        <f t="shared" si="0"/>
        <v>64284854.352314055</v>
      </c>
      <c r="F10" s="90">
        <f t="shared" si="0"/>
        <v>84422084.97817643</v>
      </c>
      <c r="G10" s="90">
        <f t="shared" si="0"/>
        <v>88693842.478072152</v>
      </c>
      <c r="H10" s="90">
        <f t="shared" si="0"/>
        <v>65775353.581738338</v>
      </c>
      <c r="I10" s="90">
        <f t="shared" si="0"/>
        <v>97896747.503380239</v>
      </c>
      <c r="J10" s="90">
        <f t="shared" si="0"/>
        <v>102850322.92705129</v>
      </c>
      <c r="K10" s="90">
        <f t="shared" si="0"/>
        <v>108054549.26716007</v>
      </c>
      <c r="L10" s="90">
        <f t="shared" si="0"/>
        <v>113522109.46007839</v>
      </c>
      <c r="M10" s="90">
        <f t="shared" si="0"/>
        <v>24554832.276214957</v>
      </c>
      <c r="N10" s="90">
        <f t="shared" si="0"/>
        <v>0</v>
      </c>
      <c r="O10" s="90">
        <f t="shared" si="0"/>
        <v>0</v>
      </c>
      <c r="P10" s="90">
        <f t="shared" si="0"/>
        <v>0</v>
      </c>
      <c r="Q10" s="90">
        <f t="shared" si="0"/>
        <v>0</v>
      </c>
      <c r="R10" s="90">
        <f t="shared" si="0"/>
        <v>0</v>
      </c>
      <c r="S10" s="90">
        <f t="shared" si="0"/>
        <v>0</v>
      </c>
      <c r="T10" s="90">
        <f t="shared" si="0"/>
        <v>0</v>
      </c>
      <c r="U10" s="90">
        <f t="shared" si="0"/>
        <v>0</v>
      </c>
      <c r="V10" s="90">
        <f t="shared" si="0"/>
        <v>0</v>
      </c>
      <c r="W10" s="90">
        <f t="shared" si="0"/>
        <v>0</v>
      </c>
      <c r="X10" s="90">
        <f t="shared" si="0"/>
        <v>780986487.45868051</v>
      </c>
    </row>
    <row r="12" spans="1:24" ht="16" x14ac:dyDescent="0.2">
      <c r="A12" s="91" t="s">
        <v>416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  <row r="13" spans="1:24" x14ac:dyDescent="0.2">
      <c r="A13" t="s">
        <v>239</v>
      </c>
      <c r="B13" s="4" t="s">
        <v>88</v>
      </c>
      <c r="C13" s="79">
        <f>'Base Metals'!C10</f>
        <v>0</v>
      </c>
      <c r="D13" s="79">
        <f>'Base Metals'!D10</f>
        <v>313479997.875</v>
      </c>
      <c r="E13" s="79">
        <f>'Base Metals'!E10</f>
        <v>651498526.02729607</v>
      </c>
      <c r="F13" s="79">
        <f>'Base Metals'!F10</f>
        <v>855580439.30534661</v>
      </c>
      <c r="G13" s="79">
        <f>'Base Metals'!G10</f>
        <v>898872809.53419709</v>
      </c>
      <c r="H13" s="79">
        <f>'Base Metals'!H10</f>
        <v>666604075.55056071</v>
      </c>
      <c r="I13" s="79">
        <f>'Base Metals'!I10</f>
        <v>992140175.84567678</v>
      </c>
      <c r="J13" s="79">
        <f>'Base Metals'!J10</f>
        <v>1042342468.743468</v>
      </c>
      <c r="K13" s="79">
        <f>'Base Metals'!K10</f>
        <v>1095084997.6618876</v>
      </c>
      <c r="L13" s="79">
        <f>'Base Metals'!L10</f>
        <v>1150496298.5435791</v>
      </c>
      <c r="M13" s="79">
        <f>'Base Metals'!M10</f>
        <v>248852349.37497619</v>
      </c>
      <c r="N13" s="79">
        <f>'Base Metals'!N10</f>
        <v>0</v>
      </c>
      <c r="O13" s="79">
        <f>'Base Metals'!O10</f>
        <v>0</v>
      </c>
      <c r="P13" s="79">
        <f>'Base Metals'!P10</f>
        <v>0</v>
      </c>
      <c r="Q13" s="79">
        <f>'Base Metals'!Q10</f>
        <v>0</v>
      </c>
      <c r="R13" s="79">
        <f>'Base Metals'!R10</f>
        <v>0</v>
      </c>
      <c r="S13" s="79">
        <f>'Base Metals'!S10</f>
        <v>0</v>
      </c>
      <c r="T13" s="79">
        <f>'Base Metals'!T10</f>
        <v>0</v>
      </c>
      <c r="U13" s="79">
        <f>'Base Metals'!U10</f>
        <v>0</v>
      </c>
      <c r="V13" s="79">
        <f>'Base Metals'!V10</f>
        <v>0</v>
      </c>
      <c r="W13" s="79">
        <f>'Base Metals'!W10</f>
        <v>0</v>
      </c>
      <c r="X13" s="87">
        <f t="shared" ref="X13:X20" si="1">SUM(C13:W13)</f>
        <v>7914952138.4619875</v>
      </c>
    </row>
    <row r="14" spans="1:24" x14ac:dyDescent="0.2">
      <c r="A14" t="s">
        <v>242</v>
      </c>
      <c r="B14" s="4" t="s">
        <v>88</v>
      </c>
      <c r="C14" s="79">
        <f>'Base Metals'!C17</f>
        <v>0</v>
      </c>
      <c r="D14" s="79">
        <f>'Base Metals'!D17</f>
        <v>0</v>
      </c>
      <c r="E14" s="79">
        <f>'Base Metals'!E17</f>
        <v>0</v>
      </c>
      <c r="F14" s="79">
        <f>'Base Metals'!F17</f>
        <v>0</v>
      </c>
      <c r="G14" s="79">
        <f>'Base Metals'!G17</f>
        <v>0</v>
      </c>
      <c r="H14" s="79">
        <f>'Base Metals'!H17</f>
        <v>0</v>
      </c>
      <c r="I14" s="79">
        <f>'Base Metals'!I17</f>
        <v>0</v>
      </c>
      <c r="J14" s="79">
        <f>'Base Metals'!J17</f>
        <v>0</v>
      </c>
      <c r="K14" s="79">
        <f>'Base Metals'!K17</f>
        <v>0</v>
      </c>
      <c r="L14" s="79">
        <f>'Base Metals'!L17</f>
        <v>0</v>
      </c>
      <c r="M14" s="79">
        <f>'Base Metals'!M17</f>
        <v>0</v>
      </c>
      <c r="N14" s="79">
        <f>'Base Metals'!N17</f>
        <v>0</v>
      </c>
      <c r="O14" s="79">
        <f>'Base Metals'!O17</f>
        <v>0</v>
      </c>
      <c r="P14" s="79">
        <f>'Base Metals'!P17</f>
        <v>0</v>
      </c>
      <c r="Q14" s="79">
        <f>'Base Metals'!Q17</f>
        <v>0</v>
      </c>
      <c r="R14" s="79">
        <f>'Base Metals'!R17</f>
        <v>0</v>
      </c>
      <c r="S14" s="79">
        <f>'Base Metals'!S17</f>
        <v>0</v>
      </c>
      <c r="T14" s="79">
        <f>'Base Metals'!T17</f>
        <v>0</v>
      </c>
      <c r="U14" s="79">
        <f>'Base Metals'!U17</f>
        <v>0</v>
      </c>
      <c r="V14" s="79">
        <f>'Base Metals'!V17</f>
        <v>0</v>
      </c>
      <c r="W14" s="79">
        <f>'Base Metals'!W17</f>
        <v>0</v>
      </c>
      <c r="X14" s="87">
        <f t="shared" si="1"/>
        <v>0</v>
      </c>
    </row>
    <row r="15" spans="1:24" x14ac:dyDescent="0.2">
      <c r="A15" t="s">
        <v>244</v>
      </c>
      <c r="B15" s="4" t="s">
        <v>88</v>
      </c>
      <c r="C15" s="79">
        <f>'Base Metals'!C24</f>
        <v>0</v>
      </c>
      <c r="D15" s="79">
        <f>'Base Metals'!D24</f>
        <v>0</v>
      </c>
      <c r="E15" s="79">
        <f>'Base Metals'!E24</f>
        <v>0</v>
      </c>
      <c r="F15" s="79">
        <f>'Base Metals'!F24</f>
        <v>0</v>
      </c>
      <c r="G15" s="79">
        <f>'Base Metals'!G24</f>
        <v>0</v>
      </c>
      <c r="H15" s="79">
        <f>'Base Metals'!H24</f>
        <v>0</v>
      </c>
      <c r="I15" s="79">
        <f>'Base Metals'!I24</f>
        <v>0</v>
      </c>
      <c r="J15" s="79">
        <f>'Base Metals'!J24</f>
        <v>0</v>
      </c>
      <c r="K15" s="79">
        <f>'Base Metals'!K24</f>
        <v>0</v>
      </c>
      <c r="L15" s="79">
        <f>'Base Metals'!L24</f>
        <v>0</v>
      </c>
      <c r="M15" s="79">
        <f>'Base Metals'!M24</f>
        <v>0</v>
      </c>
      <c r="N15" s="79">
        <f>'Base Metals'!N24</f>
        <v>0</v>
      </c>
      <c r="O15" s="79">
        <f>'Base Metals'!O24</f>
        <v>0</v>
      </c>
      <c r="P15" s="79">
        <f>'Base Metals'!P24</f>
        <v>0</v>
      </c>
      <c r="Q15" s="79">
        <f>'Base Metals'!Q24</f>
        <v>0</v>
      </c>
      <c r="R15" s="79">
        <f>'Base Metals'!R24</f>
        <v>0</v>
      </c>
      <c r="S15" s="79">
        <f>'Base Metals'!S24</f>
        <v>0</v>
      </c>
      <c r="T15" s="79">
        <f>'Base Metals'!T24</f>
        <v>0</v>
      </c>
      <c r="U15" s="79">
        <f>'Base Metals'!U24</f>
        <v>0</v>
      </c>
      <c r="V15" s="79">
        <f>'Base Metals'!V24</f>
        <v>0</v>
      </c>
      <c r="W15" s="79">
        <f>'Base Metals'!W24</f>
        <v>0</v>
      </c>
      <c r="X15" s="87">
        <f t="shared" si="1"/>
        <v>0</v>
      </c>
    </row>
    <row r="16" spans="1:24" x14ac:dyDescent="0.2">
      <c r="A16" t="s">
        <v>245</v>
      </c>
      <c r="B16" s="4" t="s">
        <v>88</v>
      </c>
      <c r="C16" s="79">
        <f>'Base Metals'!C31</f>
        <v>0</v>
      </c>
      <c r="D16" s="79">
        <f>'Base Metals'!D31</f>
        <v>0</v>
      </c>
      <c r="E16" s="79">
        <f>'Base Metals'!E31</f>
        <v>0</v>
      </c>
      <c r="F16" s="79">
        <f>'Base Metals'!F31</f>
        <v>0</v>
      </c>
      <c r="G16" s="79">
        <f>'Base Metals'!G31</f>
        <v>0</v>
      </c>
      <c r="H16" s="79">
        <f>'Base Metals'!H31</f>
        <v>0</v>
      </c>
      <c r="I16" s="79">
        <f>'Base Metals'!I31</f>
        <v>0</v>
      </c>
      <c r="J16" s="79">
        <f>'Base Metals'!J31</f>
        <v>0</v>
      </c>
      <c r="K16" s="79">
        <f>'Base Metals'!K31</f>
        <v>0</v>
      </c>
      <c r="L16" s="79">
        <f>'Base Metals'!L31</f>
        <v>0</v>
      </c>
      <c r="M16" s="79">
        <f>'Base Metals'!M31</f>
        <v>0</v>
      </c>
      <c r="N16" s="79">
        <f>'Base Metals'!N31</f>
        <v>0</v>
      </c>
      <c r="O16" s="79">
        <f>'Base Metals'!O31</f>
        <v>0</v>
      </c>
      <c r="P16" s="79">
        <f>'Base Metals'!P31</f>
        <v>0</v>
      </c>
      <c r="Q16" s="79">
        <f>'Base Metals'!Q31</f>
        <v>0</v>
      </c>
      <c r="R16" s="79">
        <f>'Base Metals'!R31</f>
        <v>0</v>
      </c>
      <c r="S16" s="79">
        <f>'Base Metals'!S31</f>
        <v>0</v>
      </c>
      <c r="T16" s="79">
        <f>'Base Metals'!T31</f>
        <v>0</v>
      </c>
      <c r="U16" s="79">
        <f>'Base Metals'!U31</f>
        <v>0</v>
      </c>
      <c r="V16" s="79">
        <f>'Base Metals'!V31</f>
        <v>0</v>
      </c>
      <c r="W16" s="79">
        <f>'Base Metals'!W31</f>
        <v>0</v>
      </c>
      <c r="X16" s="87">
        <f t="shared" si="1"/>
        <v>0</v>
      </c>
    </row>
    <row r="17" spans="1:24" x14ac:dyDescent="0.2">
      <c r="A17" t="s">
        <v>246</v>
      </c>
      <c r="B17" s="4" t="s">
        <v>88</v>
      </c>
      <c r="C17" s="79">
        <f>'Base Metals'!C38</f>
        <v>0</v>
      </c>
      <c r="D17" s="79">
        <f>'Base Metals'!D38</f>
        <v>0</v>
      </c>
      <c r="E17" s="79">
        <f>'Base Metals'!E38</f>
        <v>0</v>
      </c>
      <c r="F17" s="79">
        <f>'Base Metals'!F38</f>
        <v>0</v>
      </c>
      <c r="G17" s="79">
        <f>'Base Metals'!G38</f>
        <v>0</v>
      </c>
      <c r="H17" s="79">
        <f>'Base Metals'!H38</f>
        <v>0</v>
      </c>
      <c r="I17" s="79">
        <f>'Base Metals'!I38</f>
        <v>0</v>
      </c>
      <c r="J17" s="79">
        <f>'Base Metals'!J38</f>
        <v>0</v>
      </c>
      <c r="K17" s="79">
        <f>'Base Metals'!K38</f>
        <v>0</v>
      </c>
      <c r="L17" s="79">
        <f>'Base Metals'!L38</f>
        <v>0</v>
      </c>
      <c r="M17" s="79">
        <f>'Base Metals'!M38</f>
        <v>0</v>
      </c>
      <c r="N17" s="79">
        <f>'Base Metals'!N38</f>
        <v>0</v>
      </c>
      <c r="O17" s="79">
        <f>'Base Metals'!O38</f>
        <v>0</v>
      </c>
      <c r="P17" s="79">
        <f>'Base Metals'!P38</f>
        <v>0</v>
      </c>
      <c r="Q17" s="79">
        <f>'Base Metals'!Q38</f>
        <v>0</v>
      </c>
      <c r="R17" s="79">
        <f>'Base Metals'!R38</f>
        <v>0</v>
      </c>
      <c r="S17" s="79">
        <f>'Base Metals'!S38</f>
        <v>0</v>
      </c>
      <c r="T17" s="79">
        <f>'Base Metals'!T38</f>
        <v>0</v>
      </c>
      <c r="U17" s="79">
        <f>'Base Metals'!U38</f>
        <v>0</v>
      </c>
      <c r="V17" s="79">
        <f>'Base Metals'!V38</f>
        <v>0</v>
      </c>
      <c r="W17" s="79">
        <f>'Base Metals'!W38</f>
        <v>0</v>
      </c>
      <c r="X17" s="87">
        <f t="shared" si="1"/>
        <v>0</v>
      </c>
    </row>
    <row r="18" spans="1:24" x14ac:dyDescent="0.2">
      <c r="A18" t="s">
        <v>247</v>
      </c>
      <c r="B18" s="4" t="s">
        <v>88</v>
      </c>
      <c r="C18" s="79">
        <f>'Base Metals'!C45</f>
        <v>0</v>
      </c>
      <c r="D18" s="79">
        <f>'Base Metals'!D45</f>
        <v>0</v>
      </c>
      <c r="E18" s="79">
        <f>'Base Metals'!E45</f>
        <v>0</v>
      </c>
      <c r="F18" s="79">
        <f>'Base Metals'!F45</f>
        <v>0</v>
      </c>
      <c r="G18" s="79">
        <f>'Base Metals'!G45</f>
        <v>0</v>
      </c>
      <c r="H18" s="79">
        <f>'Base Metals'!H45</f>
        <v>0</v>
      </c>
      <c r="I18" s="79">
        <f>'Base Metals'!I45</f>
        <v>0</v>
      </c>
      <c r="J18" s="79">
        <f>'Base Metals'!J45</f>
        <v>0</v>
      </c>
      <c r="K18" s="79">
        <f>'Base Metals'!K45</f>
        <v>0</v>
      </c>
      <c r="L18" s="79">
        <f>'Base Metals'!L45</f>
        <v>0</v>
      </c>
      <c r="M18" s="79">
        <f>'Base Metals'!M45</f>
        <v>0</v>
      </c>
      <c r="N18" s="79">
        <f>'Base Metals'!N45</f>
        <v>0</v>
      </c>
      <c r="O18" s="79">
        <f>'Base Metals'!O45</f>
        <v>0</v>
      </c>
      <c r="P18" s="79">
        <f>'Base Metals'!P45</f>
        <v>0</v>
      </c>
      <c r="Q18" s="79">
        <f>'Base Metals'!Q45</f>
        <v>0</v>
      </c>
      <c r="R18" s="79">
        <f>'Base Metals'!R45</f>
        <v>0</v>
      </c>
      <c r="S18" s="79">
        <f>'Base Metals'!S45</f>
        <v>0</v>
      </c>
      <c r="T18" s="79">
        <f>'Base Metals'!T45</f>
        <v>0</v>
      </c>
      <c r="U18" s="79">
        <f>'Base Metals'!U45</f>
        <v>0</v>
      </c>
      <c r="V18" s="79">
        <f>'Base Metals'!V45</f>
        <v>0</v>
      </c>
      <c r="W18" s="79">
        <f>'Base Metals'!W45</f>
        <v>0</v>
      </c>
      <c r="X18" s="87">
        <f t="shared" si="1"/>
        <v>0</v>
      </c>
    </row>
    <row r="19" spans="1:24" x14ac:dyDescent="0.2">
      <c r="A19" t="s">
        <v>248</v>
      </c>
      <c r="B19" s="4" t="s">
        <v>88</v>
      </c>
      <c r="C19" s="79">
        <f>'Base Metals'!C52</f>
        <v>0</v>
      </c>
      <c r="D19" s="79">
        <f>'Base Metals'!D52</f>
        <v>0</v>
      </c>
      <c r="E19" s="79">
        <f>'Base Metals'!E52</f>
        <v>0</v>
      </c>
      <c r="F19" s="79">
        <f>'Base Metals'!F52</f>
        <v>0</v>
      </c>
      <c r="G19" s="79">
        <f>'Base Metals'!G52</f>
        <v>0</v>
      </c>
      <c r="H19" s="79">
        <f>'Base Metals'!H52</f>
        <v>0</v>
      </c>
      <c r="I19" s="79">
        <f>'Base Metals'!I52</f>
        <v>0</v>
      </c>
      <c r="J19" s="79">
        <f>'Base Metals'!J52</f>
        <v>0</v>
      </c>
      <c r="K19" s="79">
        <f>'Base Metals'!K52</f>
        <v>0</v>
      </c>
      <c r="L19" s="79">
        <f>'Base Metals'!L52</f>
        <v>0</v>
      </c>
      <c r="M19" s="79">
        <f>'Base Metals'!M52</f>
        <v>0</v>
      </c>
      <c r="N19" s="79">
        <f>'Base Metals'!N52</f>
        <v>0</v>
      </c>
      <c r="O19" s="79">
        <f>'Base Metals'!O52</f>
        <v>0</v>
      </c>
      <c r="P19" s="79">
        <f>'Base Metals'!P52</f>
        <v>0</v>
      </c>
      <c r="Q19" s="79">
        <f>'Base Metals'!Q52</f>
        <v>0</v>
      </c>
      <c r="R19" s="79">
        <f>'Base Metals'!R52</f>
        <v>0</v>
      </c>
      <c r="S19" s="79">
        <f>'Base Metals'!S52</f>
        <v>0</v>
      </c>
      <c r="T19" s="79">
        <f>'Base Metals'!T52</f>
        <v>0</v>
      </c>
      <c r="U19" s="79">
        <f>'Base Metals'!U52</f>
        <v>0</v>
      </c>
      <c r="V19" s="79">
        <f>'Base Metals'!V52</f>
        <v>0</v>
      </c>
      <c r="W19" s="79">
        <f>'Base Metals'!W52</f>
        <v>0</v>
      </c>
      <c r="X19" s="87">
        <f t="shared" si="1"/>
        <v>0</v>
      </c>
    </row>
    <row r="20" spans="1:24" x14ac:dyDescent="0.2">
      <c r="A20" t="s">
        <v>249</v>
      </c>
      <c r="B20" s="4" t="s">
        <v>88</v>
      </c>
      <c r="C20" s="79">
        <f>'Base Metals'!C59</f>
        <v>0</v>
      </c>
      <c r="D20" s="79">
        <f>'Base Metals'!D59</f>
        <v>0</v>
      </c>
      <c r="E20" s="79">
        <f>'Base Metals'!E59</f>
        <v>0</v>
      </c>
      <c r="F20" s="79">
        <f>'Base Metals'!F59</f>
        <v>0</v>
      </c>
      <c r="G20" s="79">
        <f>'Base Metals'!G59</f>
        <v>0</v>
      </c>
      <c r="H20" s="79">
        <f>'Base Metals'!H59</f>
        <v>0</v>
      </c>
      <c r="I20" s="79">
        <f>'Base Metals'!I59</f>
        <v>0</v>
      </c>
      <c r="J20" s="79">
        <f>'Base Metals'!J59</f>
        <v>0</v>
      </c>
      <c r="K20" s="79">
        <f>'Base Metals'!K59</f>
        <v>0</v>
      </c>
      <c r="L20" s="79">
        <f>'Base Metals'!L59</f>
        <v>0</v>
      </c>
      <c r="M20" s="79">
        <f>'Base Metals'!M59</f>
        <v>0</v>
      </c>
      <c r="N20" s="79">
        <f>'Base Metals'!N59</f>
        <v>0</v>
      </c>
      <c r="O20" s="79">
        <f>'Base Metals'!O59</f>
        <v>0</v>
      </c>
      <c r="P20" s="79">
        <f>'Base Metals'!P59</f>
        <v>0</v>
      </c>
      <c r="Q20" s="79">
        <f>'Base Metals'!Q59</f>
        <v>0</v>
      </c>
      <c r="R20" s="79">
        <f>'Base Metals'!R59</f>
        <v>0</v>
      </c>
      <c r="S20" s="79">
        <f>'Base Metals'!S59</f>
        <v>0</v>
      </c>
      <c r="T20" s="79">
        <f>'Base Metals'!T59</f>
        <v>0</v>
      </c>
      <c r="U20" s="79">
        <f>'Base Metals'!U59</f>
        <v>0</v>
      </c>
      <c r="V20" s="79">
        <f>'Base Metals'!V59</f>
        <v>0</v>
      </c>
      <c r="W20" s="79">
        <f>'Base Metals'!W59</f>
        <v>0</v>
      </c>
      <c r="X20" s="87">
        <f t="shared" si="1"/>
        <v>0</v>
      </c>
    </row>
    <row r="21" spans="1:24" x14ac:dyDescent="0.2">
      <c r="A21" s="68" t="s">
        <v>417</v>
      </c>
      <c r="B21" s="70" t="s">
        <v>88</v>
      </c>
      <c r="C21" s="90">
        <f t="shared" ref="C21:X21" si="2">C13+C14+C15+C16+C17+C18+C19+C20</f>
        <v>0</v>
      </c>
      <c r="D21" s="90">
        <f t="shared" si="2"/>
        <v>313479997.875</v>
      </c>
      <c r="E21" s="90">
        <f t="shared" si="2"/>
        <v>651498526.02729607</v>
      </c>
      <c r="F21" s="90">
        <f t="shared" si="2"/>
        <v>855580439.30534661</v>
      </c>
      <c r="G21" s="90">
        <f t="shared" si="2"/>
        <v>898872809.53419709</v>
      </c>
      <c r="H21" s="90">
        <f t="shared" si="2"/>
        <v>666604075.55056071</v>
      </c>
      <c r="I21" s="90">
        <f t="shared" si="2"/>
        <v>992140175.84567678</v>
      </c>
      <c r="J21" s="90">
        <f t="shared" si="2"/>
        <v>1042342468.743468</v>
      </c>
      <c r="K21" s="90">
        <f t="shared" si="2"/>
        <v>1095084997.6618876</v>
      </c>
      <c r="L21" s="90">
        <f t="shared" si="2"/>
        <v>1150496298.5435791</v>
      </c>
      <c r="M21" s="90">
        <f t="shared" si="2"/>
        <v>248852349.37497619</v>
      </c>
      <c r="N21" s="90">
        <f t="shared" si="2"/>
        <v>0</v>
      </c>
      <c r="O21" s="90">
        <f t="shared" si="2"/>
        <v>0</v>
      </c>
      <c r="P21" s="90">
        <f t="shared" si="2"/>
        <v>0</v>
      </c>
      <c r="Q21" s="90">
        <f t="shared" si="2"/>
        <v>0</v>
      </c>
      <c r="R21" s="90">
        <f t="shared" si="2"/>
        <v>0</v>
      </c>
      <c r="S21" s="90">
        <f t="shared" si="2"/>
        <v>0</v>
      </c>
      <c r="T21" s="90">
        <f t="shared" si="2"/>
        <v>0</v>
      </c>
      <c r="U21" s="90">
        <f t="shared" si="2"/>
        <v>0</v>
      </c>
      <c r="V21" s="90">
        <f t="shared" si="2"/>
        <v>0</v>
      </c>
      <c r="W21" s="90">
        <f t="shared" si="2"/>
        <v>0</v>
      </c>
      <c r="X21" s="90">
        <f t="shared" si="2"/>
        <v>7914952138.4619875</v>
      </c>
    </row>
    <row r="23" spans="1:24" x14ac:dyDescent="0.2">
      <c r="A23" s="68" t="s">
        <v>418</v>
      </c>
      <c r="B23" s="70" t="s">
        <v>88</v>
      </c>
      <c r="C23" s="90">
        <f t="shared" ref="C23:X23" si="3">C10+C21</f>
        <v>0</v>
      </c>
      <c r="D23" s="90">
        <f t="shared" si="3"/>
        <v>344411788.50949454</v>
      </c>
      <c r="E23" s="90">
        <f t="shared" si="3"/>
        <v>715783380.37961006</v>
      </c>
      <c r="F23" s="90">
        <f t="shared" si="3"/>
        <v>940002524.28352308</v>
      </c>
      <c r="G23" s="90">
        <f t="shared" si="3"/>
        <v>987566652.01226926</v>
      </c>
      <c r="H23" s="90">
        <f t="shared" si="3"/>
        <v>732379429.13229907</v>
      </c>
      <c r="I23" s="90">
        <f t="shared" si="3"/>
        <v>1090036923.349057</v>
      </c>
      <c r="J23" s="90">
        <f t="shared" si="3"/>
        <v>1145192791.6705194</v>
      </c>
      <c r="K23" s="90">
        <f t="shared" si="3"/>
        <v>1203139546.9290478</v>
      </c>
      <c r="L23" s="90">
        <f t="shared" si="3"/>
        <v>1264018408.0036576</v>
      </c>
      <c r="M23" s="90">
        <f t="shared" si="3"/>
        <v>273407181.65119112</v>
      </c>
      <c r="N23" s="90">
        <f t="shared" si="3"/>
        <v>0</v>
      </c>
      <c r="O23" s="90">
        <f t="shared" si="3"/>
        <v>0</v>
      </c>
      <c r="P23" s="90">
        <f t="shared" si="3"/>
        <v>0</v>
      </c>
      <c r="Q23" s="90">
        <f t="shared" si="3"/>
        <v>0</v>
      </c>
      <c r="R23" s="90">
        <f t="shared" si="3"/>
        <v>0</v>
      </c>
      <c r="S23" s="90">
        <f t="shared" si="3"/>
        <v>0</v>
      </c>
      <c r="T23" s="90">
        <f t="shared" si="3"/>
        <v>0</v>
      </c>
      <c r="U23" s="90">
        <f t="shared" si="3"/>
        <v>0</v>
      </c>
      <c r="V23" s="90">
        <f t="shared" si="3"/>
        <v>0</v>
      </c>
      <c r="W23" s="90">
        <f t="shared" si="3"/>
        <v>0</v>
      </c>
      <c r="X23" s="90">
        <f t="shared" si="3"/>
        <v>8695938625.9206676</v>
      </c>
    </row>
    <row r="25" spans="1:24" ht="16" x14ac:dyDescent="0.2">
      <c r="A25" s="49" t="s">
        <v>419</v>
      </c>
    </row>
    <row r="26" spans="1:24" x14ac:dyDescent="0.2">
      <c r="A26" t="s">
        <v>420</v>
      </c>
      <c r="B26" s="4" t="s">
        <v>88</v>
      </c>
      <c r="C26" s="79">
        <f>-IF(C23&gt;0,Operations!C9*Assumptions!$B$133,0)</f>
        <v>0</v>
      </c>
      <c r="D26" s="79">
        <f>-IF(D23&gt;0,Operations!D9*Assumptions!$B$133,0)</f>
        <v>-20625000</v>
      </c>
      <c r="E26" s="79">
        <f>-IF(E23&gt;0,Operations!E9*Assumptions!$B$133,0)</f>
        <v>-40800000</v>
      </c>
      <c r="F26" s="79">
        <f>-IF(F23&gt;0,Operations!F9*Assumptions!$B$133,0)</f>
        <v>-51000000</v>
      </c>
      <c r="G26" s="79">
        <f>-IF(G23&gt;0,Operations!G9*Assumptions!$B$133,0)</f>
        <v>-51000000</v>
      </c>
      <c r="H26" s="79">
        <f>-IF(H23&gt;0,Operations!H9*Assumptions!$B$133,0)</f>
        <v>-36000000</v>
      </c>
      <c r="I26" s="79">
        <f>-IF(I23&gt;0,Operations!I9*Assumptions!$B$133,0)</f>
        <v>-51000000</v>
      </c>
      <c r="J26" s="79">
        <f>-IF(J23&gt;0,Operations!J9*Assumptions!$B$133,0)</f>
        <v>-51000000</v>
      </c>
      <c r="K26" s="79">
        <f>-IF(K23&gt;0,Operations!K9*Assumptions!$B$133,0)</f>
        <v>-51000000</v>
      </c>
      <c r="L26" s="79">
        <f>-IF(L23&gt;0,Operations!L9*Assumptions!$B$133,0)</f>
        <v>-51000000</v>
      </c>
      <c r="M26" s="79">
        <f>-IF(M23&gt;0,Operations!M9*Assumptions!$B$133,0)</f>
        <v>-10500000</v>
      </c>
      <c r="N26" s="79">
        <f>-IF(N23&gt;0,Operations!N9*Assumptions!$B$133,0)</f>
        <v>0</v>
      </c>
      <c r="O26" s="79">
        <f>-IF(O23&gt;0,Operations!O9*Assumptions!$B$133,0)</f>
        <v>0</v>
      </c>
      <c r="P26" s="79">
        <f>-IF(P23&gt;0,Operations!P9*Assumptions!$B$133,0)</f>
        <v>0</v>
      </c>
      <c r="Q26" s="79">
        <f>-IF(Q23&gt;0,Operations!Q9*Assumptions!$B$133,0)</f>
        <v>0</v>
      </c>
      <c r="R26" s="79">
        <f>-IF(R23&gt;0,Operations!R9*Assumptions!$B$133,0)</f>
        <v>0</v>
      </c>
      <c r="S26" s="79">
        <f>-IF(S23&gt;0,Operations!S9*Assumptions!$B$133,0)</f>
        <v>0</v>
      </c>
      <c r="T26" s="79">
        <f>-IF(T23&gt;0,Operations!T9*Assumptions!$B$133,0)</f>
        <v>0</v>
      </c>
      <c r="U26" s="79">
        <f>-IF(U23&gt;0,Operations!U9*Assumptions!$B$133,0)</f>
        <v>0</v>
      </c>
      <c r="V26" s="79">
        <f>-IF(V23&gt;0,Operations!V9*Assumptions!$B$133,0)</f>
        <v>0</v>
      </c>
      <c r="W26" s="79">
        <f>-IF(W23&gt;0,Operations!W9*Assumptions!$B$133,0)</f>
        <v>0</v>
      </c>
      <c r="X26" s="87">
        <f>SUM(C26:W26)</f>
        <v>-413925000</v>
      </c>
    </row>
    <row r="27" spans="1:24" x14ac:dyDescent="0.2">
      <c r="A27" t="s">
        <v>421</v>
      </c>
      <c r="B27" s="4" t="s">
        <v>88</v>
      </c>
      <c r="C27" s="79">
        <f>-C23*Assumptions!$B$134</f>
        <v>0</v>
      </c>
      <c r="D27" s="79">
        <f>-D23*Assumptions!$B$134</f>
        <v>-17220589.425474729</v>
      </c>
      <c r="E27" s="79">
        <f>-E23*Assumptions!$B$134</f>
        <v>-35789169.018980503</v>
      </c>
      <c r="F27" s="79">
        <f>-F23*Assumptions!$B$134</f>
        <v>-47000126.214176156</v>
      </c>
      <c r="G27" s="79">
        <f>-G23*Assumptions!$B$134</f>
        <v>-49378332.600613467</v>
      </c>
      <c r="H27" s="79">
        <f>-H23*Assumptions!$B$134</f>
        <v>-36618971.456614956</v>
      </c>
      <c r="I27" s="79">
        <f>-I23*Assumptions!$B$134</f>
        <v>-54501846.167452849</v>
      </c>
      <c r="J27" s="79">
        <f>-J23*Assumptions!$B$134</f>
        <v>-57259639.583525971</v>
      </c>
      <c r="K27" s="79">
        <f>-K23*Assumptions!$B$134</f>
        <v>-60156977.346452393</v>
      </c>
      <c r="L27" s="79">
        <f>-L23*Assumptions!$B$134</f>
        <v>-63200920.40018288</v>
      </c>
      <c r="M27" s="79">
        <f>-M23*Assumptions!$B$134</f>
        <v>-13670359.082559556</v>
      </c>
      <c r="N27" s="79">
        <f>-N23*Assumptions!$B$134</f>
        <v>0</v>
      </c>
      <c r="O27" s="79">
        <f>-O23*Assumptions!$B$134</f>
        <v>0</v>
      </c>
      <c r="P27" s="79">
        <f>-P23*Assumptions!$B$134</f>
        <v>0</v>
      </c>
      <c r="Q27" s="79">
        <f>-Q23*Assumptions!$B$134</f>
        <v>0</v>
      </c>
      <c r="R27" s="79">
        <f>-R23*Assumptions!$B$134</f>
        <v>0</v>
      </c>
      <c r="S27" s="79">
        <f>-S23*Assumptions!$B$134</f>
        <v>0</v>
      </c>
      <c r="T27" s="79">
        <f>-T23*Assumptions!$B$134</f>
        <v>0</v>
      </c>
      <c r="U27" s="79">
        <f>-U23*Assumptions!$B$134</f>
        <v>0</v>
      </c>
      <c r="V27" s="79">
        <f>-V23*Assumptions!$B$134</f>
        <v>0</v>
      </c>
      <c r="W27" s="79">
        <f>-W23*Assumptions!$B$134</f>
        <v>0</v>
      </c>
      <c r="X27" s="87">
        <f>SUM(C27:W27)</f>
        <v>-434796931.2960335</v>
      </c>
    </row>
    <row r="28" spans="1:24" x14ac:dyDescent="0.2">
      <c r="A28" t="s">
        <v>422</v>
      </c>
      <c r="B28" s="4" t="s">
        <v>88</v>
      </c>
      <c r="C28" s="79">
        <f>-C21*Assumptions!$B$135</f>
        <v>0</v>
      </c>
      <c r="D28" s="79">
        <f>-D21*Assumptions!$B$135</f>
        <v>-1567399.9893750001</v>
      </c>
      <c r="E28" s="79">
        <f>-E21*Assumptions!$B$135</f>
        <v>-3257492.6301364806</v>
      </c>
      <c r="F28" s="79">
        <f>-F21*Assumptions!$B$135</f>
        <v>-4277902.1965267332</v>
      </c>
      <c r="G28" s="79">
        <f>-G21*Assumptions!$B$135</f>
        <v>-4494364.0476709856</v>
      </c>
      <c r="H28" s="79">
        <f>-H21*Assumptions!$B$135</f>
        <v>-3333020.3777528037</v>
      </c>
      <c r="I28" s="79">
        <f>-I21*Assumptions!$B$135</f>
        <v>-4960700.8792283842</v>
      </c>
      <c r="J28" s="79">
        <f>-J21*Assumptions!$B$135</f>
        <v>-5211712.3437173404</v>
      </c>
      <c r="K28" s="79">
        <f>-K21*Assumptions!$B$135</f>
        <v>-5475424.9883094383</v>
      </c>
      <c r="L28" s="79">
        <f>-L21*Assumptions!$B$135</f>
        <v>-5752481.4927178957</v>
      </c>
      <c r="M28" s="79">
        <f>-M21*Assumptions!$B$135</f>
        <v>-1244261.746874881</v>
      </c>
      <c r="N28" s="79">
        <f>-N21*Assumptions!$B$135</f>
        <v>0</v>
      </c>
      <c r="O28" s="79">
        <f>-O21*Assumptions!$B$135</f>
        <v>0</v>
      </c>
      <c r="P28" s="79">
        <f>-P21*Assumptions!$B$135</f>
        <v>0</v>
      </c>
      <c r="Q28" s="79">
        <f>-Q21*Assumptions!$B$135</f>
        <v>0</v>
      </c>
      <c r="R28" s="79">
        <f>-R21*Assumptions!$B$135</f>
        <v>0</v>
      </c>
      <c r="S28" s="79">
        <f>-S21*Assumptions!$B$135</f>
        <v>0</v>
      </c>
      <c r="T28" s="79">
        <f>-T21*Assumptions!$B$135</f>
        <v>0</v>
      </c>
      <c r="U28" s="79">
        <f>-U21*Assumptions!$B$135</f>
        <v>0</v>
      </c>
      <c r="V28" s="79">
        <f>-V21*Assumptions!$B$135</f>
        <v>0</v>
      </c>
      <c r="W28" s="79">
        <f>-W21*Assumptions!$B$135</f>
        <v>0</v>
      </c>
      <c r="X28" s="87">
        <f>SUM(C28:W28)</f>
        <v>-39574760.692309946</v>
      </c>
    </row>
    <row r="29" spans="1:24" x14ac:dyDescent="0.2">
      <c r="A29" s="68" t="s">
        <v>423</v>
      </c>
      <c r="B29" s="70" t="s">
        <v>88</v>
      </c>
      <c r="C29" s="90">
        <f t="shared" ref="C29:X29" si="4">C26+C27+C28</f>
        <v>0</v>
      </c>
      <c r="D29" s="90">
        <f t="shared" si="4"/>
        <v>-39412989.414849736</v>
      </c>
      <c r="E29" s="90">
        <f t="shared" si="4"/>
        <v>-79846661.649116978</v>
      </c>
      <c r="F29" s="90">
        <f t="shared" si="4"/>
        <v>-102278028.41070288</v>
      </c>
      <c r="G29" s="90">
        <f t="shared" si="4"/>
        <v>-104872696.64828447</v>
      </c>
      <c r="H29" s="90">
        <f t="shared" si="4"/>
        <v>-75951991.834367767</v>
      </c>
      <c r="I29" s="90">
        <f t="shared" si="4"/>
        <v>-110462547.04668123</v>
      </c>
      <c r="J29" s="90">
        <f t="shared" si="4"/>
        <v>-113471351.92724331</v>
      </c>
      <c r="K29" s="90">
        <f t="shared" si="4"/>
        <v>-116632402.33476183</v>
      </c>
      <c r="L29" s="90">
        <f t="shared" si="4"/>
        <v>-119953401.89290076</v>
      </c>
      <c r="M29" s="90">
        <f t="shared" si="4"/>
        <v>-25414620.829434436</v>
      </c>
      <c r="N29" s="90">
        <f t="shared" si="4"/>
        <v>0</v>
      </c>
      <c r="O29" s="90">
        <f t="shared" si="4"/>
        <v>0</v>
      </c>
      <c r="P29" s="90">
        <f t="shared" si="4"/>
        <v>0</v>
      </c>
      <c r="Q29" s="90">
        <f t="shared" si="4"/>
        <v>0</v>
      </c>
      <c r="R29" s="90">
        <f t="shared" si="4"/>
        <v>0</v>
      </c>
      <c r="S29" s="90">
        <f t="shared" si="4"/>
        <v>0</v>
      </c>
      <c r="T29" s="90">
        <f t="shared" si="4"/>
        <v>0</v>
      </c>
      <c r="U29" s="90">
        <f t="shared" si="4"/>
        <v>0</v>
      </c>
      <c r="V29" s="90">
        <f t="shared" si="4"/>
        <v>0</v>
      </c>
      <c r="W29" s="90">
        <f t="shared" si="4"/>
        <v>0</v>
      </c>
      <c r="X29" s="90">
        <f t="shared" si="4"/>
        <v>-888296691.98834348</v>
      </c>
    </row>
    <row r="31" spans="1:24" ht="16" x14ac:dyDescent="0.2">
      <c r="A31" s="94" t="s">
        <v>424</v>
      </c>
      <c r="B31" s="70" t="s">
        <v>88</v>
      </c>
      <c r="C31" s="90">
        <f t="shared" ref="C31:X31" si="5">C23+C29</f>
        <v>0</v>
      </c>
      <c r="D31" s="90">
        <f t="shared" si="5"/>
        <v>304998799.09464478</v>
      </c>
      <c r="E31" s="90">
        <f t="shared" si="5"/>
        <v>635936718.73049307</v>
      </c>
      <c r="F31" s="90">
        <f t="shared" si="5"/>
        <v>837724495.87282014</v>
      </c>
      <c r="G31" s="90">
        <f t="shared" si="5"/>
        <v>882693955.36398482</v>
      </c>
      <c r="H31" s="90">
        <f t="shared" si="5"/>
        <v>656427437.29793131</v>
      </c>
      <c r="I31" s="90">
        <f t="shared" si="5"/>
        <v>979574376.30237579</v>
      </c>
      <c r="J31" s="90">
        <f t="shared" si="5"/>
        <v>1031721439.743276</v>
      </c>
      <c r="K31" s="90">
        <f t="shared" si="5"/>
        <v>1086507144.594286</v>
      </c>
      <c r="L31" s="90">
        <f t="shared" si="5"/>
        <v>1144065006.1107569</v>
      </c>
      <c r="M31" s="90">
        <f t="shared" si="5"/>
        <v>247992560.82175669</v>
      </c>
      <c r="N31" s="90">
        <f t="shared" si="5"/>
        <v>0</v>
      </c>
      <c r="O31" s="90">
        <f t="shared" si="5"/>
        <v>0</v>
      </c>
      <c r="P31" s="90">
        <f t="shared" si="5"/>
        <v>0</v>
      </c>
      <c r="Q31" s="90">
        <f t="shared" si="5"/>
        <v>0</v>
      </c>
      <c r="R31" s="90">
        <f t="shared" si="5"/>
        <v>0</v>
      </c>
      <c r="S31" s="90">
        <f t="shared" si="5"/>
        <v>0</v>
      </c>
      <c r="T31" s="90">
        <f t="shared" si="5"/>
        <v>0</v>
      </c>
      <c r="U31" s="90">
        <f t="shared" si="5"/>
        <v>0</v>
      </c>
      <c r="V31" s="90">
        <f t="shared" si="5"/>
        <v>0</v>
      </c>
      <c r="W31" s="90">
        <f t="shared" si="5"/>
        <v>0</v>
      </c>
      <c r="X31" s="90">
        <f t="shared" si="5"/>
        <v>7807641933.9323244</v>
      </c>
    </row>
    <row r="33" spans="1:23" ht="16" x14ac:dyDescent="0.2">
      <c r="A33" s="49" t="s">
        <v>425</v>
      </c>
    </row>
    <row r="34" spans="1:23" x14ac:dyDescent="0.2">
      <c r="A34" t="s">
        <v>426</v>
      </c>
      <c r="B34" s="4" t="s">
        <v>339</v>
      </c>
      <c r="C34" s="88">
        <f>IF(Operations!C12=0,0,C31/(Operations!C12*1000/Assumptions!$B$15)/Operations!C15)</f>
        <v>0</v>
      </c>
      <c r="D34" s="88">
        <f>IF(Operations!D12=0,0,D31/(Operations!D12*1000/Assumptions!$B$15)/Operations!D15)</f>
        <v>190.56456111337812</v>
      </c>
      <c r="E34" s="88">
        <f>IF(Operations!E12=0,0,E31/(Operations!E12*1000/Assumptions!$B$15)/Operations!E15)</f>
        <v>195.00892164379769</v>
      </c>
      <c r="F34" s="88">
        <f>IF(Operations!F12=0,0,F31/(Operations!F12*1000/Assumptions!$B$15)/Operations!F15)</f>
        <v>199.52373047293779</v>
      </c>
      <c r="G34" s="88">
        <f>IF(Operations!G12=0,0,G31/(Operations!G12*1000/Assumptions!$B$15)/Operations!G15)</f>
        <v>204.11093362245876</v>
      </c>
      <c r="H34" s="88">
        <f>IF(Operations!H12=0,0,H31/(Operations!H12*1000/Assumptions!$B$15)/Operations!H15)</f>
        <v>208.7725003920558</v>
      </c>
      <c r="I34" s="88">
        <f>IF(Operations!I12=0,0,I31/(Operations!I12*1000/Assumptions!$B$15)/Operations!I15)</f>
        <v>213.51042428062291</v>
      </c>
      <c r="J34" s="88">
        <f>IF(Operations!J12=0,0,J31/(Operations!J12*1000/Assumptions!$B$15)/Operations!J15)</f>
        <v>218.32672391257131</v>
      </c>
      <c r="K34" s="88">
        <f>IF(Operations!K12=0,0,K31/(Operations!K12*1000/Assumptions!$B$15)/Operations!K15)</f>
        <v>223.22344396978971</v>
      </c>
      <c r="L34" s="88">
        <f>IF(Operations!L12=0,0,L31/(Operations!L12*1000/Assumptions!$B$15)/Operations!L15)</f>
        <v>228.20265612973597</v>
      </c>
      <c r="M34" s="88">
        <f>IF(Operations!M12=0,0,M31/(Operations!M12*1000/Assumptions!$B$15)/Operations!M15)</f>
        <v>233.2664600101466</v>
      </c>
      <c r="N34" s="88">
        <f>IF(Operations!N12=0,0,N31/(Operations!N12*1000/Assumptions!$B$15)/Operations!N15)</f>
        <v>0</v>
      </c>
      <c r="O34" s="88">
        <f>IF(Operations!O12=0,0,O31/(Operations!O12*1000/Assumptions!$B$15)/Operations!O15)</f>
        <v>0</v>
      </c>
      <c r="P34" s="88">
        <f>IF(Operations!P12=0,0,P31/(Operations!P12*1000/Assumptions!$B$15)/Operations!P15)</f>
        <v>0</v>
      </c>
      <c r="Q34" s="88">
        <f>IF(Operations!Q12=0,0,Q31/(Operations!Q12*1000/Assumptions!$B$15)/Operations!Q15)</f>
        <v>0</v>
      </c>
      <c r="R34" s="88">
        <f>IF(Operations!R12=0,0,R31/(Operations!R12*1000/Assumptions!$B$15)/Operations!R15)</f>
        <v>0</v>
      </c>
      <c r="S34" s="88">
        <f>IF(Operations!S12=0,0,S31/(Operations!S12*1000/Assumptions!$B$15)/Operations!S15)</f>
        <v>0</v>
      </c>
      <c r="T34" s="88">
        <f>IF(Operations!T12=0,0,T31/(Operations!T12*1000/Assumptions!$B$15)/Operations!T15)</f>
        <v>0</v>
      </c>
      <c r="U34" s="88">
        <f>IF(Operations!U12=0,0,U31/(Operations!U12*1000/Assumptions!$B$15)/Operations!U15)</f>
        <v>0</v>
      </c>
      <c r="V34" s="88">
        <f>IF(Operations!V12=0,0,V31/(Operations!V12*1000/Assumptions!$B$15)/Operations!V15)</f>
        <v>0</v>
      </c>
      <c r="W34" s="88">
        <f>IF(Operations!W12=0,0,W31/(Operations!W12*1000/Assumptions!$B$15)/Operations!W15)</f>
        <v>0</v>
      </c>
    </row>
    <row r="35" spans="1:23" x14ac:dyDescent="0.2">
      <c r="A35" t="s">
        <v>427</v>
      </c>
      <c r="B35" s="4" t="s">
        <v>428</v>
      </c>
      <c r="C35" s="88">
        <f>IF(Operations!C12=0,0,C31/Operations!C12)</f>
        <v>0</v>
      </c>
      <c r="D35" s="88">
        <f>IF(Operations!D12=0,0,D31/Operations!D12)</f>
        <v>116745.9518065626</v>
      </c>
      <c r="E35" s="88">
        <f>IF(Operations!E12=0,0,E31/Operations!E12)</f>
        <v>123052.77065218519</v>
      </c>
      <c r="F35" s="88">
        <f>IF(Operations!F12=0,0,F31/Operations!F12)</f>
        <v>129678.71453139631</v>
      </c>
      <c r="G35" s="88">
        <f>IF(Operations!G12=0,0,G31/Operations!G12)</f>
        <v>136639.93117089549</v>
      </c>
      <c r="H35" s="88">
        <f>IF(Operations!H12=0,0,H31/Operations!H12)</f>
        <v>143953.38537235337</v>
      </c>
      <c r="I35" s="88">
        <f>IF(Operations!I12=0,0,I31/Operations!I12)</f>
        <v>151636.90035640492</v>
      </c>
      <c r="J35" s="88">
        <f>IF(Operations!J12=0,0,J31/Operations!J12)</f>
        <v>159709.20119864953</v>
      </c>
      <c r="K35" s="88">
        <f>IF(Operations!K12=0,0,K31/Operations!K12)</f>
        <v>168189.96046351176</v>
      </c>
      <c r="L35" s="88">
        <f>IF(Operations!L12=0,0,L31/Operations!L12)</f>
        <v>177099.84614717599</v>
      </c>
      <c r="M35" s="88">
        <f>IF(Operations!M12=0,0,M31/Operations!M12)</f>
        <v>186460.5720464336</v>
      </c>
      <c r="N35" s="88">
        <f>IF(Operations!N12=0,0,N31/Operations!N12)</f>
        <v>0</v>
      </c>
      <c r="O35" s="88">
        <f>IF(Operations!O12=0,0,O31/Operations!O12)</f>
        <v>0</v>
      </c>
      <c r="P35" s="88">
        <f>IF(Operations!P12=0,0,P31/Operations!P12)</f>
        <v>0</v>
      </c>
      <c r="Q35" s="88">
        <f>IF(Operations!Q12=0,0,Q31/Operations!Q12)</f>
        <v>0</v>
      </c>
      <c r="R35" s="88">
        <f>IF(Operations!R12=0,0,R31/Operations!R12)</f>
        <v>0</v>
      </c>
      <c r="S35" s="88">
        <f>IF(Operations!S12=0,0,S31/Operations!S12)</f>
        <v>0</v>
      </c>
      <c r="T35" s="88">
        <f>IF(Operations!T12=0,0,T31/Operations!T12)</f>
        <v>0</v>
      </c>
      <c r="U35" s="88">
        <f>IF(Operations!U12=0,0,U31/Operations!U12)</f>
        <v>0</v>
      </c>
      <c r="V35" s="88">
        <f>IF(Operations!V12=0,0,V31/Operations!V12)</f>
        <v>0</v>
      </c>
      <c r="W35" s="88">
        <f>IF(Operations!W12=0,0,W31/Operations!W12)</f>
        <v>0</v>
      </c>
    </row>
    <row r="36" spans="1:23" x14ac:dyDescent="0.2">
      <c r="A36" s="55" t="s">
        <v>429</v>
      </c>
      <c r="B36" s="4" t="s">
        <v>339</v>
      </c>
      <c r="C36" s="40">
        <f>IF(Operations!C12=0,0,(ABS('Income Statement'!C16)+ABS('Fixed Assets'!C7)-C31)/(Operations!C12*1000/Assumptions!$B$15)/Operations!C15)</f>
        <v>0</v>
      </c>
      <c r="D36" s="40">
        <f>IF(Operations!D12=0,0,(ABS('Income Statement'!D16)+ABS('Fixed Assets'!D7)-D31)/(Operations!D12*1000/Assumptions!$B$15)/Operations!D15)</f>
        <v>1045.2895061831084</v>
      </c>
      <c r="E36" s="40">
        <f>IF(Operations!E12=0,0,(ABS('Income Statement'!E16)+ABS('Fixed Assets'!E7)-E31)/(Operations!E12*1000/Assumptions!$B$15)/Operations!E15)</f>
        <v>1042.7148836203905</v>
      </c>
      <c r="F36" s="40">
        <f>IF(Operations!F12=0,0,(ABS('Income Statement'!F16)+ABS('Fixed Assets'!F7)-F31)/(Operations!F12*1000/Assumptions!$B$15)/Operations!F15)</f>
        <v>1051.1449703254063</v>
      </c>
      <c r="G36" s="40">
        <f>IF(Operations!G12=0,0,(ABS('Income Statement'!G16)+ABS('Fixed Assets'!G7)-G31)/(Operations!G12*1000/Assumptions!$B$15)/Operations!G15)</f>
        <v>1059.0467037118976</v>
      </c>
      <c r="H36" s="40">
        <f>IF(Operations!H12=0,0,(ABS('Income Statement'!H16)+ABS('Fixed Assets'!H7)-H31)/(Operations!H12*1000/Assumptions!$B$15)/Operations!H15)</f>
        <v>1071.5347373719596</v>
      </c>
      <c r="I36" s="40">
        <f>IF(Operations!I12=0,0,(ABS('Income Statement'!I16)+ABS('Fixed Assets'!I7)-I31)/(Operations!I12*1000/Assumptions!$B$15)/Operations!I15)</f>
        <v>1074.4223260028461</v>
      </c>
      <c r="J36" s="40">
        <f>IF(Operations!J12=0,0,(ABS('Income Statement'!J16)+ABS('Fixed Assets'!J7)-J31)/(Operations!J12*1000/Assumptions!$B$15)/Operations!J15)</f>
        <v>1082.2245579294813</v>
      </c>
      <c r="K36" s="40">
        <f>IF(Operations!K12=0,0,(ABS('Income Statement'!K16)+ABS('Fixed Assets'!K7)-K31)/(Operations!K12*1000/Assumptions!$B$15)/Operations!K15)</f>
        <v>1090.102806456101</v>
      </c>
      <c r="L36" s="40">
        <f>IF(Operations!L12=0,0,(ABS('Income Statement'!L16)+ABS('Fixed Assets'!L7)-L31)/(Operations!L12*1000/Assumptions!$B$15)/Operations!L15)</f>
        <v>1098.0568907928719</v>
      </c>
      <c r="M36" s="40">
        <f>IF(Operations!M12=0,0,(ABS('Income Statement'!M16)+ABS('Fixed Assets'!M7)-M31)/(Operations!M12*1000/Assumptions!$B$15)/Operations!M15)</f>
        <v>1150.4641181056681</v>
      </c>
      <c r="N36" s="40">
        <f>IF(Operations!N12=0,0,(ABS('Income Statement'!N16)+ABS('Fixed Assets'!N7)-N31)/(Operations!N12*1000/Assumptions!$B$15)/Operations!N15)</f>
        <v>0</v>
      </c>
      <c r="O36" s="40">
        <f>IF(Operations!O12=0,0,(ABS('Income Statement'!O16)+ABS('Fixed Assets'!O7)-O31)/(Operations!O12*1000/Assumptions!$B$15)/Operations!O15)</f>
        <v>0</v>
      </c>
      <c r="P36" s="40">
        <f>IF(Operations!P12=0,0,(ABS('Income Statement'!P16)+ABS('Fixed Assets'!P7)-P31)/(Operations!P12*1000/Assumptions!$B$15)/Operations!P15)</f>
        <v>0</v>
      </c>
      <c r="Q36" s="40">
        <f>IF(Operations!Q12=0,0,(ABS('Income Statement'!Q16)+ABS('Fixed Assets'!Q7)-Q31)/(Operations!Q12*1000/Assumptions!$B$15)/Operations!Q15)</f>
        <v>0</v>
      </c>
      <c r="R36" s="40">
        <f>IF(Operations!R12=0,0,(ABS('Income Statement'!R16)+ABS('Fixed Assets'!R7)-R31)/(Operations!R12*1000/Assumptions!$B$15)/Operations!R15)</f>
        <v>0</v>
      </c>
      <c r="S36" s="40">
        <f>IF(Operations!S12=0,0,(ABS('Income Statement'!S16)+ABS('Fixed Assets'!S7)-S31)/(Operations!S12*1000/Assumptions!$B$15)/Operations!S15)</f>
        <v>0</v>
      </c>
      <c r="T36" s="40">
        <f>IF(Operations!T12=0,0,(ABS('Income Statement'!T16)+ABS('Fixed Assets'!T7)-T31)/(Operations!T12*1000/Assumptions!$B$15)/Operations!T15)</f>
        <v>0</v>
      </c>
      <c r="U36" s="40">
        <f>IF(Operations!U12=0,0,(ABS('Income Statement'!U16)+ABS('Fixed Assets'!U7)-U31)/(Operations!U12*1000/Assumptions!$B$15)/Operations!U15)</f>
        <v>0</v>
      </c>
      <c r="V36" s="40">
        <f>IF(Operations!V12=0,0,(ABS('Income Statement'!V16)+ABS('Fixed Assets'!V7)-V31)/(Operations!V12*1000/Assumptions!$B$15)/Operations!V15)</f>
        <v>0</v>
      </c>
      <c r="W36" s="40">
        <f>IF(Operations!W12=0,0,(ABS('Income Statement'!W16)+ABS('Fixed Assets'!W7)-W31)/(Operations!W12*1000/Assumptions!$B$15)/Operations!W15)</f>
        <v>0</v>
      </c>
    </row>
    <row r="37" spans="1:23" x14ac:dyDescent="0.2">
      <c r="A37" t="s">
        <v>430</v>
      </c>
      <c r="B37" s="4" t="s">
        <v>117</v>
      </c>
      <c r="C37" s="95">
        <f>IF('Income Statement'!C5=0,0,C31/'Income Statement'!C5)</f>
        <v>0</v>
      </c>
      <c r="D37" s="95">
        <f>IF('Income Statement'!D5=0,0,D31/'Income Statement'!D5)</f>
        <v>7.9501277060232842E-2</v>
      </c>
      <c r="E37" s="95">
        <f>IF('Income Statement'!E5=0,0,E31/'Income Statement'!E5)</f>
        <v>7.9760207466767152E-2</v>
      </c>
      <c r="F37" s="95">
        <f>IF('Income Statement'!F5=0,0,F31/'Income Statement'!F5)</f>
        <v>8.0006667019912353E-2</v>
      </c>
      <c r="G37" s="95">
        <f>IF('Income Statement'!G5=0,0,G31/'Income Statement'!G5)</f>
        <v>8.0241256352812762E-2</v>
      </c>
      <c r="H37" s="95">
        <f>IF('Income Statement'!H5=0,0,H31/'Income Statement'!H5)</f>
        <v>8.0464547170346012E-2</v>
      </c>
      <c r="I37" s="95">
        <f>IF('Income Statement'!I5=0,0,I31/'Income Statement'!I5)</f>
        <v>8.0677083642393607E-2</v>
      </c>
      <c r="J37" s="95">
        <f>IF('Income Statement'!J5=0,0,J31/'Income Statement'!J5)</f>
        <v>8.0879383730007956E-2</v>
      </c>
      <c r="K37" s="95">
        <f>IF('Income Statement'!K5=0,0,K31/'Income Statement'!K5)</f>
        <v>8.1071940447706756E-2</v>
      </c>
      <c r="L37" s="95">
        <f>IF('Income Statement'!L5=0,0,L31/'Income Statement'!L5)</f>
        <v>8.1255223064971918E-2</v>
      </c>
      <c r="M37" s="95">
        <f>IF('Income Statement'!M5=0,0,M31/'Income Statement'!M5)</f>
        <v>8.1429678249880719E-2</v>
      </c>
      <c r="N37" s="95">
        <f>IF('Income Statement'!N5=0,0,N31/'Income Statement'!N5)</f>
        <v>0</v>
      </c>
      <c r="O37" s="95">
        <f>IF('Income Statement'!O5=0,0,O31/'Income Statement'!O5)</f>
        <v>0</v>
      </c>
      <c r="P37" s="95">
        <f>IF('Income Statement'!P5=0,0,P31/'Income Statement'!P5)</f>
        <v>0</v>
      </c>
      <c r="Q37" s="95">
        <f>IF('Income Statement'!Q5=0,0,Q31/'Income Statement'!Q5)</f>
        <v>0</v>
      </c>
      <c r="R37" s="95">
        <f>IF('Income Statement'!R5=0,0,R31/'Income Statement'!R5)</f>
        <v>0</v>
      </c>
      <c r="S37" s="95">
        <f>IF('Income Statement'!S5=0,0,S31/'Income Statement'!S5)</f>
        <v>0</v>
      </c>
      <c r="T37" s="95">
        <f>IF('Income Statement'!T5=0,0,T31/'Income Statement'!T5)</f>
        <v>0</v>
      </c>
      <c r="U37" s="95">
        <f>IF('Income Statement'!U5=0,0,U31/'Income Statement'!U5)</f>
        <v>0</v>
      </c>
      <c r="V37" s="95">
        <f>IF('Income Statement'!V5=0,0,V31/'Income Statement'!V5)</f>
        <v>0</v>
      </c>
      <c r="W37" s="95">
        <f>IF('Income Statement'!W5=0,0,W31/'Income Statement'!W5)</f>
        <v>0</v>
      </c>
    </row>
    <row r="39" spans="1:23" ht="16" x14ac:dyDescent="0.2">
      <c r="A39" s="96" t="s">
        <v>431</v>
      </c>
    </row>
    <row r="40" spans="1:23" x14ac:dyDescent="0.2">
      <c r="A40" s="4" t="s">
        <v>432</v>
      </c>
    </row>
    <row r="41" spans="1:23" x14ac:dyDescent="0.2">
      <c r="A41" s="4" t="s">
        <v>433</v>
      </c>
    </row>
    <row r="42" spans="1:23" x14ac:dyDescent="0.2">
      <c r="A42" s="4" t="s">
        <v>434</v>
      </c>
    </row>
    <row r="43" spans="1:23" x14ac:dyDescent="0.2">
      <c r="A43" s="4" t="s">
        <v>435</v>
      </c>
    </row>
    <row r="44" spans="1:23" x14ac:dyDescent="0.2">
      <c r="A44" s="4"/>
    </row>
    <row r="45" spans="1:23" x14ac:dyDescent="0.2">
      <c r="A45" s="4" t="s">
        <v>436</v>
      </c>
    </row>
    <row r="46" spans="1:23" x14ac:dyDescent="0.2">
      <c r="A46" s="4" t="s">
        <v>437</v>
      </c>
    </row>
    <row r="47" spans="1:23" x14ac:dyDescent="0.2">
      <c r="A47" s="4" t="s">
        <v>438</v>
      </c>
    </row>
    <row r="48" spans="1:23" x14ac:dyDescent="0.2">
      <c r="A48" s="4"/>
    </row>
    <row r="49" spans="1:1" x14ac:dyDescent="0.2">
      <c r="A49" s="4" t="s">
        <v>439</v>
      </c>
    </row>
    <row r="50" spans="1:1" x14ac:dyDescent="0.2">
      <c r="A50" s="4" t="s">
        <v>440</v>
      </c>
    </row>
    <row r="51" spans="1:1" x14ac:dyDescent="0.2">
      <c r="A51" s="4" t="s">
        <v>441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X3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5" sqref="D5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5" customHeight="1" x14ac:dyDescent="0.2">
      <c r="A2" s="4" t="s">
        <v>442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 customHeight="1" x14ac:dyDescent="0.2">
      <c r="A3" s="72"/>
      <c r="B3" s="72"/>
      <c r="C3" s="72" t="s">
        <v>304</v>
      </c>
      <c r="D3" s="72" t="s">
        <v>305</v>
      </c>
      <c r="E3" s="72" t="s">
        <v>306</v>
      </c>
      <c r="F3" s="72" t="s">
        <v>307</v>
      </c>
      <c r="G3" s="72" t="s">
        <v>308</v>
      </c>
      <c r="H3" s="72" t="s">
        <v>309</v>
      </c>
      <c r="I3" s="72" t="s">
        <v>310</v>
      </c>
      <c r="J3" s="72" t="s">
        <v>311</v>
      </c>
      <c r="K3" s="72" t="s">
        <v>312</v>
      </c>
      <c r="L3" s="72" t="s">
        <v>313</v>
      </c>
      <c r="M3" s="72" t="s">
        <v>314</v>
      </c>
      <c r="N3" s="72" t="s">
        <v>315</v>
      </c>
      <c r="O3" s="72" t="s">
        <v>316</v>
      </c>
      <c r="P3" s="72" t="s">
        <v>317</v>
      </c>
      <c r="Q3" s="72" t="s">
        <v>318</v>
      </c>
      <c r="R3" s="72" t="s">
        <v>319</v>
      </c>
      <c r="S3" s="72" t="s">
        <v>320</v>
      </c>
      <c r="T3" s="72" t="s">
        <v>321</v>
      </c>
      <c r="U3" s="72" t="s">
        <v>322</v>
      </c>
      <c r="V3" s="72" t="s">
        <v>323</v>
      </c>
      <c r="W3" s="72" t="s">
        <v>324</v>
      </c>
      <c r="X3" s="73" t="s">
        <v>124</v>
      </c>
    </row>
    <row r="4" spans="1:24" ht="1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5" customHeight="1" x14ac:dyDescent="0.2">
      <c r="A5" s="97" t="s">
        <v>443</v>
      </c>
      <c r="B5" s="70" t="s">
        <v>88</v>
      </c>
      <c r="C5" s="98">
        <f>Operations!C12*1000*Operations!C16</f>
        <v>0</v>
      </c>
      <c r="D5" s="98">
        <f>Operations!D12*1000*Operations!D16</f>
        <v>3836401255.0838327</v>
      </c>
      <c r="E5" s="98">
        <f>Operations!E12*1000*Operations!E16</f>
        <v>7973107630.085618</v>
      </c>
      <c r="F5" s="98">
        <f>Operations!F12*1000*Operations!F16</f>
        <v>10470683595.209936</v>
      </c>
      <c r="G5" s="98">
        <f>Operations!G12*1000*Operations!G16</f>
        <v>11000500185.12756</v>
      </c>
      <c r="H5" s="98">
        <f>Operations!H12*1000*Operations!H16</f>
        <v>8157970937.2905998</v>
      </c>
      <c r="I5" s="98">
        <f>Operations!I12*1000*Operations!I16</f>
        <v>12141916044.516464</v>
      </c>
      <c r="J5" s="98">
        <f>Operations!J12*1000*Operations!J16</f>
        <v>12756296996.368998</v>
      </c>
      <c r="K5" s="98">
        <f>Operations!K12*1000*Operations!K16</f>
        <v>13401765624.385267</v>
      </c>
      <c r="L5" s="98">
        <f>Operations!L12*1000*Operations!L16</f>
        <v>14079894964.979162</v>
      </c>
      <c r="M5" s="98">
        <f>Operations!M12*1000*Operations!M16</f>
        <v>3045481280.9249921</v>
      </c>
      <c r="N5" s="98">
        <f>Operations!N12*1000*Operations!N16</f>
        <v>0</v>
      </c>
      <c r="O5" s="98">
        <f>Operations!O12*1000*Operations!O16</f>
        <v>0</v>
      </c>
      <c r="P5" s="98">
        <f>Operations!P12*1000*Operations!P16</f>
        <v>0</v>
      </c>
      <c r="Q5" s="98">
        <f>Operations!Q12*1000*Operations!Q16</f>
        <v>0</v>
      </c>
      <c r="R5" s="98">
        <f>Operations!R12*1000*Operations!R16</f>
        <v>0</v>
      </c>
      <c r="S5" s="98">
        <f>Operations!S12*1000*Operations!S16</f>
        <v>0</v>
      </c>
      <c r="T5" s="98">
        <f>Operations!T12*1000*Operations!T16</f>
        <v>0</v>
      </c>
      <c r="U5" s="98">
        <f>Operations!U12*1000*Operations!U16</f>
        <v>0</v>
      </c>
      <c r="V5" s="98">
        <f>Operations!V12*1000*Operations!V16</f>
        <v>0</v>
      </c>
      <c r="W5" s="98">
        <f>Operations!W12*1000*Operations!W16</f>
        <v>0</v>
      </c>
      <c r="X5" s="90">
        <f>SUM(C5:W5)</f>
        <v>96864018513.972412</v>
      </c>
    </row>
    <row r="6" spans="1:24" ht="15" customHeight="1" x14ac:dyDescent="0.2">
      <c r="A6" s="99" t="s">
        <v>136</v>
      </c>
      <c r="B6" s="58" t="s">
        <v>88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</row>
    <row r="7" spans="1:24" ht="15" customHeight="1" x14ac:dyDescent="0.2">
      <c r="A7" s="22" t="s">
        <v>444</v>
      </c>
      <c r="B7" s="4" t="s">
        <v>88</v>
      </c>
      <c r="C7" s="63">
        <f>-(Operations!C9+Operations!C19)*Operations!C21</f>
        <v>0</v>
      </c>
      <c r="D7" s="63">
        <f>-(Operations!D9+Operations!D19)*Operations!D21</f>
        <v>-1499767500</v>
      </c>
      <c r="E7" s="63">
        <f>-(Operations!E9+Operations!E19)*Operations!E21</f>
        <v>-3081925136.6399999</v>
      </c>
      <c r="F7" s="63">
        <f>-(Operations!F9+Operations!F19)*Operations!F21</f>
        <v>-4001879789.9270396</v>
      </c>
      <c r="G7" s="63">
        <f>-(Operations!G9+Operations!G19)*Operations!G21</f>
        <v>-4157152725.7762084</v>
      </c>
      <c r="H7" s="63">
        <f>-(Operations!H9+Operations!H19)*Operations!H21</f>
        <v>-3048317824.6138768</v>
      </c>
      <c r="I7" s="63">
        <f>-(Operations!I9+Operations!I19)*Operations!I21</f>
        <v>-4486006121.2959347</v>
      </c>
      <c r="J7" s="63">
        <f>-(Operations!J9+Operations!J19)*Operations!J21</f>
        <v>-4660063158.8022175</v>
      </c>
      <c r="K7" s="63">
        <f>-(Operations!K9+Operations!K19)*Operations!K21</f>
        <v>-4840873609.3637438</v>
      </c>
      <c r="L7" s="63">
        <f>-(Operations!L9+Operations!L19)*Operations!L21</f>
        <v>-5028699505.4070568</v>
      </c>
      <c r="M7" s="63">
        <f>-(Operations!M9+Operations!M19)*Operations!M21</f>
        <v>-1075490921.2799397</v>
      </c>
      <c r="N7" s="63">
        <f>-(Operations!N9+Operations!N19)*Operations!N21</f>
        <v>0</v>
      </c>
      <c r="O7" s="63">
        <f>-(Operations!O9+Operations!O19)*Operations!O21</f>
        <v>0</v>
      </c>
      <c r="P7" s="63">
        <f>-(Operations!P9+Operations!P19)*Operations!P21</f>
        <v>0</v>
      </c>
      <c r="Q7" s="63">
        <f>-(Operations!Q9+Operations!Q19)*Operations!Q21</f>
        <v>0</v>
      </c>
      <c r="R7" s="63">
        <f>-(Operations!R9+Operations!R19)*Operations!R21</f>
        <v>0</v>
      </c>
      <c r="S7" s="63">
        <f>-(Operations!S9+Operations!S19)*Operations!S21</f>
        <v>0</v>
      </c>
      <c r="T7" s="63">
        <f>-(Operations!T9+Operations!T19)*Operations!T21</f>
        <v>0</v>
      </c>
      <c r="U7" s="63">
        <f>-(Operations!U9+Operations!U19)*Operations!U21</f>
        <v>0</v>
      </c>
      <c r="V7" s="63">
        <f>-(Operations!V9+Operations!V19)*Operations!V21</f>
        <v>0</v>
      </c>
      <c r="W7" s="63">
        <f>-(Operations!W9+Operations!W19)*Operations!W21</f>
        <v>0</v>
      </c>
      <c r="X7" s="87">
        <f t="shared" ref="X7:X20" si="0">SUM(C7:W7)</f>
        <v>-35880176293.10601</v>
      </c>
    </row>
    <row r="8" spans="1:24" ht="15" customHeight="1" x14ac:dyDescent="0.2">
      <c r="A8" s="22" t="s">
        <v>445</v>
      </c>
      <c r="B8" s="4" t="s">
        <v>88</v>
      </c>
      <c r="C8" s="63">
        <f>-Operations!C9*Operations!C22</f>
        <v>0</v>
      </c>
      <c r="D8" s="63">
        <f>-Operations!D9*Operations!D22</f>
        <v>-211395800</v>
      </c>
      <c r="E8" s="63">
        <f>-Operations!E9*Operations!E22</f>
        <v>-434404685.92640001</v>
      </c>
      <c r="F8" s="63">
        <f>-Operations!F9*Operations!F22</f>
        <v>-564074484.67543042</v>
      </c>
      <c r="G8" s="63">
        <f>-Operations!G9*Operations!G22</f>
        <v>-585960574.68083704</v>
      </c>
      <c r="H8" s="63">
        <f>-Operations!H9*Operations!H22</f>
        <v>-429667655.27890843</v>
      </c>
      <c r="I8" s="63">
        <f>-Operations!I9*Operations!I22</f>
        <v>-632313243.76361763</v>
      </c>
      <c r="J8" s="63">
        <f>-Operations!J9*Operations!J22</f>
        <v>-656846997.62164593</v>
      </c>
      <c r="K8" s="63">
        <f>-Operations!K9*Operations!K22</f>
        <v>-682332661.1293658</v>
      </c>
      <c r="L8" s="63">
        <f>-Operations!L9*Operations!L22</f>
        <v>-708807168.38118529</v>
      </c>
      <c r="M8" s="63">
        <f>-Operations!M9*Operations!M22</f>
        <v>-151593006.04707727</v>
      </c>
      <c r="N8" s="63">
        <f>-Operations!N9*Operations!N22</f>
        <v>0</v>
      </c>
      <c r="O8" s="63">
        <f>-Operations!O9*Operations!O22</f>
        <v>0</v>
      </c>
      <c r="P8" s="63">
        <f>-Operations!P9*Operations!P22</f>
        <v>0</v>
      </c>
      <c r="Q8" s="63">
        <f>-Operations!Q9*Operations!Q22</f>
        <v>0</v>
      </c>
      <c r="R8" s="63">
        <f>-Operations!R9*Operations!R22</f>
        <v>0</v>
      </c>
      <c r="S8" s="63">
        <f>-Operations!S9*Operations!S22</f>
        <v>0</v>
      </c>
      <c r="T8" s="63">
        <f>-Operations!T9*Operations!T22</f>
        <v>0</v>
      </c>
      <c r="U8" s="63">
        <f>-Operations!U9*Operations!U22</f>
        <v>0</v>
      </c>
      <c r="V8" s="63">
        <f>-Operations!V9*Operations!V22</f>
        <v>0</v>
      </c>
      <c r="W8" s="63">
        <f>-Operations!W9*Operations!W22</f>
        <v>0</v>
      </c>
      <c r="X8" s="87">
        <f t="shared" si="0"/>
        <v>-5057396277.504468</v>
      </c>
    </row>
    <row r="9" spans="1:24" ht="15" customHeight="1" x14ac:dyDescent="0.2">
      <c r="A9" s="22" t="s">
        <v>446</v>
      </c>
      <c r="B9" s="4" t="s">
        <v>88</v>
      </c>
      <c r="C9" s="79">
        <f>-Operations!C23</f>
        <v>0</v>
      </c>
      <c r="D9" s="79">
        <f>-Operations!D23</f>
        <v>-18000000</v>
      </c>
      <c r="E9" s="79">
        <f>-Operations!E23</f>
        <v>-19080000</v>
      </c>
      <c r="F9" s="79">
        <f>-Operations!F23</f>
        <v>-20224800</v>
      </c>
      <c r="G9" s="79">
        <f>-Operations!G23</f>
        <v>-21438288</v>
      </c>
      <c r="H9" s="79">
        <f>-Operations!H23</f>
        <v>-22724585.280000001</v>
      </c>
      <c r="I9" s="79">
        <f>-Operations!I23</f>
        <v>-24088060.396800004</v>
      </c>
      <c r="J9" s="79">
        <f>-Operations!J23</f>
        <v>-25533344.020608004</v>
      </c>
      <c r="K9" s="79">
        <f>-Operations!K23</f>
        <v>-27065344.661844485</v>
      </c>
      <c r="L9" s="79">
        <f>-Operations!L23</f>
        <v>-28689265.341555156</v>
      </c>
      <c r="M9" s="79">
        <f>-Operations!M23</f>
        <v>-30410621.262048468</v>
      </c>
      <c r="N9" s="79">
        <f>-Operations!N23</f>
        <v>0</v>
      </c>
      <c r="O9" s="79">
        <f>-Operations!O23</f>
        <v>0</v>
      </c>
      <c r="P9" s="79">
        <f>-Operations!P23</f>
        <v>0</v>
      </c>
      <c r="Q9" s="79">
        <f>-Operations!Q23</f>
        <v>0</v>
      </c>
      <c r="R9" s="79">
        <f>-Operations!R23</f>
        <v>0</v>
      </c>
      <c r="S9" s="79">
        <f>-Operations!S23</f>
        <v>0</v>
      </c>
      <c r="T9" s="79">
        <f>-Operations!T23</f>
        <v>0</v>
      </c>
      <c r="U9" s="79">
        <f>-Operations!U23</f>
        <v>0</v>
      </c>
      <c r="V9" s="79">
        <f>-Operations!V23</f>
        <v>0</v>
      </c>
      <c r="W9" s="79">
        <f>-Operations!W23</f>
        <v>0</v>
      </c>
      <c r="X9" s="87">
        <f t="shared" si="0"/>
        <v>-237254308.96285611</v>
      </c>
    </row>
    <row r="10" spans="1:24" ht="15" customHeight="1" x14ac:dyDescent="0.2">
      <c r="A10" s="22" t="s">
        <v>279</v>
      </c>
      <c r="B10" s="4" t="s">
        <v>88</v>
      </c>
      <c r="C10" s="63">
        <f>-Operations!C24</f>
        <v>0</v>
      </c>
      <c r="D10" s="63">
        <f>-Operations!D24</f>
        <v>-12000000</v>
      </c>
      <c r="E10" s="63">
        <f>-Operations!E24</f>
        <v>-12000000</v>
      </c>
      <c r="F10" s="63">
        <f>-Operations!F24</f>
        <v>-12000000</v>
      </c>
      <c r="G10" s="63">
        <f>-Operations!G24</f>
        <v>-12000000</v>
      </c>
      <c r="H10" s="63">
        <f>-Operations!H24</f>
        <v>-12000000</v>
      </c>
      <c r="I10" s="63">
        <f>-Operations!I24</f>
        <v>-12000000</v>
      </c>
      <c r="J10" s="63">
        <f>-Operations!J24</f>
        <v>-12000000</v>
      </c>
      <c r="K10" s="63">
        <f>-Operations!K24</f>
        <v>-12000000</v>
      </c>
      <c r="L10" s="63">
        <f>-Operations!L24</f>
        <v>-12000000</v>
      </c>
      <c r="M10" s="63">
        <f>-Operations!M24</f>
        <v>-12000000</v>
      </c>
      <c r="N10" s="63">
        <f>-Operations!N24</f>
        <v>0</v>
      </c>
      <c r="O10" s="63">
        <f>-Operations!O24</f>
        <v>0</v>
      </c>
      <c r="P10" s="63">
        <f>-Operations!P24</f>
        <v>0</v>
      </c>
      <c r="Q10" s="63">
        <f>-Operations!Q24</f>
        <v>0</v>
      </c>
      <c r="R10" s="63">
        <f>-Operations!R24</f>
        <v>0</v>
      </c>
      <c r="S10" s="63">
        <f>-Operations!S24</f>
        <v>0</v>
      </c>
      <c r="T10" s="63">
        <f>-Operations!T24</f>
        <v>0</v>
      </c>
      <c r="U10" s="63">
        <f>-Operations!U24</f>
        <v>0</v>
      </c>
      <c r="V10" s="63">
        <f>-Operations!V24</f>
        <v>0</v>
      </c>
      <c r="W10" s="63">
        <f>-Operations!W24</f>
        <v>0</v>
      </c>
      <c r="X10" s="87">
        <f t="shared" si="0"/>
        <v>-120000000</v>
      </c>
    </row>
    <row r="11" spans="1:24" ht="15" customHeight="1" x14ac:dyDescent="0.2">
      <c r="A11" s="22" t="s">
        <v>447</v>
      </c>
      <c r="B11" s="4" t="s">
        <v>88</v>
      </c>
      <c r="C11" s="63">
        <f t="shared" ref="C11:W11" si="1">-C5*C12</f>
        <v>0</v>
      </c>
      <c r="D11" s="63">
        <f t="shared" si="1"/>
        <v>-186801042.68212578</v>
      </c>
      <c r="E11" s="63">
        <f t="shared" si="1"/>
        <v>-393921362.75196552</v>
      </c>
      <c r="F11" s="63">
        <f t="shared" si="1"/>
        <v>-522153779.6246469</v>
      </c>
      <c r="G11" s="63">
        <f t="shared" si="1"/>
        <v>-550025009.25637805</v>
      </c>
      <c r="H11" s="63">
        <f t="shared" si="1"/>
        <v>-407898546.86453003</v>
      </c>
      <c r="I11" s="63">
        <f t="shared" si="1"/>
        <v>-607095802.22582328</v>
      </c>
      <c r="J11" s="63">
        <f t="shared" si="1"/>
        <v>-637814849.81844985</v>
      </c>
      <c r="K11" s="63">
        <f t="shared" si="1"/>
        <v>-670088281.21926343</v>
      </c>
      <c r="L11" s="63">
        <f t="shared" si="1"/>
        <v>-703994748.24895811</v>
      </c>
      <c r="M11" s="63">
        <f t="shared" si="1"/>
        <v>-152274064.0462496</v>
      </c>
      <c r="N11" s="63">
        <f t="shared" si="1"/>
        <v>0</v>
      </c>
      <c r="O11" s="63">
        <f t="shared" si="1"/>
        <v>0</v>
      </c>
      <c r="P11" s="63">
        <f t="shared" si="1"/>
        <v>0</v>
      </c>
      <c r="Q11" s="63">
        <f t="shared" si="1"/>
        <v>0</v>
      </c>
      <c r="R11" s="63">
        <f t="shared" si="1"/>
        <v>0</v>
      </c>
      <c r="S11" s="63">
        <f t="shared" si="1"/>
        <v>0</v>
      </c>
      <c r="T11" s="63">
        <f t="shared" si="1"/>
        <v>0</v>
      </c>
      <c r="U11" s="63">
        <f t="shared" si="1"/>
        <v>0</v>
      </c>
      <c r="V11" s="63">
        <f t="shared" si="1"/>
        <v>0</v>
      </c>
      <c r="W11" s="63">
        <f t="shared" si="1"/>
        <v>0</v>
      </c>
      <c r="X11" s="87">
        <f t="shared" si="0"/>
        <v>-4832067486.7383909</v>
      </c>
    </row>
    <row r="12" spans="1:24" ht="15" customHeight="1" x14ac:dyDescent="0.2">
      <c r="A12" s="22" t="s">
        <v>448</v>
      </c>
      <c r="B12" s="4" t="s">
        <v>117</v>
      </c>
      <c r="C12" s="44">
        <f>IF(C5=0,0,MAX(Assumptions!$B$42,MIN(Assumptions!$B$43,0.005+(C5+C7+C8+C9+C10)/(C5*12.5))))</f>
        <v>0</v>
      </c>
      <c r="D12" s="44">
        <f>IF(D5=0,0,MAX(Assumptions!$B$42,MIN(Assumptions!$B$43,0.005+(D5+D7+D8+D9+D10)/(D5*12.5))))</f>
        <v>4.8691737454361721E-2</v>
      </c>
      <c r="E12" s="44">
        <f>IF(E5=0,0,MAX(Assumptions!$B$42,MIN(Assumptions!$B$43,0.005+(E5+E7+E8+E9+E10)/(E5*12.5))))</f>
        <v>4.9406251743742663E-2</v>
      </c>
      <c r="F12" s="44">
        <f>IF(F5=0,0,MAX(Assumptions!$B$42,MIN(Assumptions!$B$43,0.005+(F5+F7+F8+F9+F10)/(F5*12.5))))</f>
        <v>4.9868165232642363E-2</v>
      </c>
      <c r="G12" s="44">
        <f>IF(G5=0,0,MAX(Assumptions!$B$42,MIN(Assumptions!$B$43,0.005+(G5+G7+G8+G9+G10)/(G5*12.5))))</f>
        <v>0.05</v>
      </c>
      <c r="H12" s="44">
        <f>IF(H5=0,0,MAX(Assumptions!$B$42,MIN(Assumptions!$B$43,0.005+(H5+H7+H8+H9+H10)/(H5*12.5))))</f>
        <v>0.05</v>
      </c>
      <c r="I12" s="44">
        <f>IF(I5=0,0,MAX(Assumptions!$B$42,MIN(Assumptions!$B$43,0.005+(I5+I7+I8+I9+I10)/(I5*12.5))))</f>
        <v>0.05</v>
      </c>
      <c r="J12" s="44">
        <f>IF(J5=0,0,MAX(Assumptions!$B$42,MIN(Assumptions!$B$43,0.005+(J5+J7+J8+J9+J10)/(J5*12.5))))</f>
        <v>0.05</v>
      </c>
      <c r="K12" s="44">
        <f>IF(K5=0,0,MAX(Assumptions!$B$42,MIN(Assumptions!$B$43,0.005+(K5+K7+K8+K9+K10)/(K5*12.5))))</f>
        <v>0.05</v>
      </c>
      <c r="L12" s="44">
        <f>IF(L5=0,0,MAX(Assumptions!$B$42,MIN(Assumptions!$B$43,0.005+(L5+L7+L8+L9+L10)/(L5*12.5))))</f>
        <v>0.05</v>
      </c>
      <c r="M12" s="44">
        <f>IF(M5=0,0,MAX(Assumptions!$B$42,MIN(Assumptions!$B$43,0.005+(M5+M7+M8+M9+M10)/(M5*12.5))))</f>
        <v>0.05</v>
      </c>
      <c r="N12" s="44">
        <f>IF(N5=0,0,MAX(Assumptions!$B$42,MIN(Assumptions!$B$43,0.005+(N5+N7+N8+N9+N10)/(N5*12.5))))</f>
        <v>0</v>
      </c>
      <c r="O12" s="44">
        <f>IF(O5=0,0,MAX(Assumptions!$B$42,MIN(Assumptions!$B$43,0.005+(O5+O7+O8+O9+O10)/(O5*12.5))))</f>
        <v>0</v>
      </c>
      <c r="P12" s="44">
        <f>IF(P5=0,0,MAX(Assumptions!$B$42,MIN(Assumptions!$B$43,0.005+(P5+P7+P8+P9+P10)/(P5*12.5))))</f>
        <v>0</v>
      </c>
      <c r="Q12" s="44">
        <f>IF(Q5=0,0,MAX(Assumptions!$B$42,MIN(Assumptions!$B$43,0.005+(Q5+Q7+Q8+Q9+Q10)/(Q5*12.5))))</f>
        <v>0</v>
      </c>
      <c r="R12" s="44">
        <f>IF(R5=0,0,MAX(Assumptions!$B$42,MIN(Assumptions!$B$43,0.005+(R5+R7+R8+R9+R10)/(R5*12.5))))</f>
        <v>0</v>
      </c>
      <c r="S12" s="44">
        <f>IF(S5=0,0,MAX(Assumptions!$B$42,MIN(Assumptions!$B$43,0.005+(S5+S7+S8+S9+S10)/(S5*12.5))))</f>
        <v>0</v>
      </c>
      <c r="T12" s="44">
        <f>IF(T5=0,0,MAX(Assumptions!$B$42,MIN(Assumptions!$B$43,0.005+(T5+T7+T8+T9+T10)/(T5*12.5))))</f>
        <v>0</v>
      </c>
      <c r="U12" s="44">
        <f>IF(U5=0,0,MAX(Assumptions!$B$42,MIN(Assumptions!$B$43,0.005+(U5+U7+U8+U9+U10)/(U5*12.5))))</f>
        <v>0</v>
      </c>
      <c r="V12" s="44">
        <f>IF(V5=0,0,MAX(Assumptions!$B$42,MIN(Assumptions!$B$43,0.005+(V5+V7+V8+V9+V10)/(V5*12.5))))</f>
        <v>0</v>
      </c>
      <c r="W12" s="44">
        <f>IF(W5=0,0,MAX(Assumptions!$B$42,MIN(Assumptions!$B$43,0.005+(W5+W7+W8+W9+W10)/(W5*12.5))))</f>
        <v>0</v>
      </c>
      <c r="X12" s="63">
        <f t="shared" si="0"/>
        <v>0.49796615443074671</v>
      </c>
    </row>
    <row r="13" spans="1:24" ht="15" customHeight="1" x14ac:dyDescent="0.2">
      <c r="A13" s="22" t="s">
        <v>75</v>
      </c>
      <c r="B13" s="4" t="s">
        <v>88</v>
      </c>
      <c r="C13" s="63">
        <f>-Operations!C9*Assumptions!B72*Assumptions!B74</f>
        <v>0</v>
      </c>
      <c r="D13" s="63">
        <f>-Operations!D9*Assumptions!B72*Assumptions!B74</f>
        <v>-3657500.0000000005</v>
      </c>
      <c r="E13" s="63">
        <f>-Operations!E9*Assumptions!B72*Assumptions!B74</f>
        <v>-7235200.0000000009</v>
      </c>
      <c r="F13" s="63">
        <f>-Operations!F9*Assumptions!B72*Assumptions!B74</f>
        <v>-9044000.0000000019</v>
      </c>
      <c r="G13" s="63">
        <f>-Operations!G9*Assumptions!B72*Assumptions!B74</f>
        <v>-9044000.0000000019</v>
      </c>
      <c r="H13" s="63">
        <f>-Operations!H9*Assumptions!B72*Assumptions!B74</f>
        <v>-6384000.0000000009</v>
      </c>
      <c r="I13" s="63">
        <f>-Operations!I9*Assumptions!B72*Assumptions!B74</f>
        <v>-9044000.0000000019</v>
      </c>
      <c r="J13" s="63">
        <f>-Operations!J9*Assumptions!B72*Assumptions!B74</f>
        <v>-9044000.0000000019</v>
      </c>
      <c r="K13" s="63">
        <f>-Operations!K9*Assumptions!B72*Assumptions!B74</f>
        <v>-9044000.0000000019</v>
      </c>
      <c r="L13" s="63">
        <f>-Operations!L9*Assumptions!B72*Assumptions!B74</f>
        <v>-9044000.0000000019</v>
      </c>
      <c r="M13" s="63">
        <f>-Operations!M9*Assumptions!B72*Assumptions!B74</f>
        <v>-1862000.0000000002</v>
      </c>
      <c r="N13" s="63">
        <f>-Operations!N9*Assumptions!B72*Assumptions!B74</f>
        <v>0</v>
      </c>
      <c r="O13" s="63">
        <f>-Operations!O9*Assumptions!B72*Assumptions!B74</f>
        <v>0</v>
      </c>
      <c r="P13" s="63">
        <f>-Operations!P9*Assumptions!B72*Assumptions!B74</f>
        <v>0</v>
      </c>
      <c r="Q13" s="63">
        <f>-Operations!Q9*Assumptions!B72*Assumptions!B74</f>
        <v>0</v>
      </c>
      <c r="R13" s="63">
        <f>-Operations!R9*Assumptions!B72*Assumptions!B74</f>
        <v>0</v>
      </c>
      <c r="S13" s="63">
        <f>-Operations!S9*Assumptions!B72*Assumptions!B74</f>
        <v>0</v>
      </c>
      <c r="T13" s="63">
        <f>-Operations!T9*Assumptions!B72*Assumptions!B74</f>
        <v>0</v>
      </c>
      <c r="U13" s="63">
        <f>-Operations!U9*Assumptions!B72*Assumptions!B74</f>
        <v>0</v>
      </c>
      <c r="V13" s="63">
        <f>-Operations!V9*Assumptions!B72*Assumptions!B74</f>
        <v>0</v>
      </c>
      <c r="W13" s="63">
        <f>-Operations!W9*Assumptions!B72*Assumptions!B74</f>
        <v>0</v>
      </c>
      <c r="X13" s="87">
        <f t="shared" si="0"/>
        <v>-73402700.000000015</v>
      </c>
    </row>
    <row r="14" spans="1:24" ht="15" customHeight="1" x14ac:dyDescent="0.2">
      <c r="A14" s="22" t="s">
        <v>449</v>
      </c>
      <c r="B14" s="4" t="s">
        <v>88</v>
      </c>
      <c r="C14" s="63">
        <v>0</v>
      </c>
      <c r="D14" s="63">
        <f>-D5*Assumptions!B77</f>
        <v>-38364012.550838329</v>
      </c>
      <c r="E14" s="63">
        <f>-E5*Assumptions!B77</f>
        <v>-79731076.300856188</v>
      </c>
      <c r="F14" s="63">
        <f>-F5*Assumptions!B77</f>
        <v>-104706835.95209937</v>
      </c>
      <c r="G14" s="63">
        <f>-G5*Assumptions!B77</f>
        <v>-110005001.85127559</v>
      </c>
      <c r="H14" s="63">
        <f>-H5*Assumptions!B77</f>
        <v>-81579709.372905999</v>
      </c>
      <c r="I14" s="63">
        <f>-I5*Assumptions!B77</f>
        <v>-121419160.44516465</v>
      </c>
      <c r="J14" s="63">
        <f>-J5*Assumptions!B77</f>
        <v>-127562969.96368998</v>
      </c>
      <c r="K14" s="63">
        <f>-K5*Assumptions!B77</f>
        <v>-134017656.24385267</v>
      </c>
      <c r="L14" s="63">
        <f>-L5*Assumptions!B77</f>
        <v>-140798949.64979163</v>
      </c>
      <c r="M14" s="63">
        <f>-M5*Assumptions!B77</f>
        <v>-30454812.809249923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f t="shared" si="0"/>
        <v>-968640185.13972414</v>
      </c>
    </row>
    <row r="15" spans="1:24" ht="15" customHeight="1" x14ac:dyDescent="0.2">
      <c r="A15" s="22" t="s">
        <v>450</v>
      </c>
      <c r="B15" s="4" t="s">
        <v>88</v>
      </c>
      <c r="C15" s="63">
        <v>0</v>
      </c>
      <c r="D15" s="63">
        <f>-(Assumptions!B78+Assumptions!B79)</f>
        <v>-8000000</v>
      </c>
      <c r="E15" s="63">
        <f>-(Assumptions!B78+Assumptions!B79)</f>
        <v>-8000000</v>
      </c>
      <c r="F15" s="63">
        <f>-(Assumptions!B78+Assumptions!B79)</f>
        <v>-8000000</v>
      </c>
      <c r="G15" s="63">
        <f>-(Assumptions!B78+Assumptions!B79)</f>
        <v>-8000000</v>
      </c>
      <c r="H15" s="63">
        <f>-(Assumptions!B78+Assumptions!B79)</f>
        <v>-8000000</v>
      </c>
      <c r="I15" s="63">
        <f>-(Assumptions!B78+Assumptions!B79)</f>
        <v>-8000000</v>
      </c>
      <c r="J15" s="63">
        <f>-(Assumptions!B78+Assumptions!B79)</f>
        <v>-8000000</v>
      </c>
      <c r="K15" s="63">
        <f>-(Assumptions!B78+Assumptions!B79)</f>
        <v>-8000000</v>
      </c>
      <c r="L15" s="63">
        <f>-(Assumptions!B78+Assumptions!B79)</f>
        <v>-8000000</v>
      </c>
      <c r="M15" s="63">
        <f>-(Assumptions!B78+Assumptions!B79)</f>
        <v>-8000000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87">
        <f t="shared" si="0"/>
        <v>-80000000</v>
      </c>
    </row>
    <row r="16" spans="1:24" ht="15" customHeight="1" x14ac:dyDescent="0.2">
      <c r="A16" s="22" t="s">
        <v>451</v>
      </c>
      <c r="B16" s="4" t="s">
        <v>88</v>
      </c>
      <c r="C16" s="63">
        <f t="shared" ref="C16:W16" si="2">SUM(C7:C15)</f>
        <v>0</v>
      </c>
      <c r="D16" s="63">
        <f t="shared" si="2"/>
        <v>-1977985855.1842723</v>
      </c>
      <c r="E16" s="63">
        <f t="shared" si="2"/>
        <v>-4036297461.5698156</v>
      </c>
      <c r="F16" s="63">
        <f t="shared" si="2"/>
        <v>-5242083690.1293488</v>
      </c>
      <c r="G16" s="63">
        <f t="shared" si="2"/>
        <v>-5453625599.514699</v>
      </c>
      <c r="H16" s="63">
        <f t="shared" si="2"/>
        <v>-4016572321.3602214</v>
      </c>
      <c r="I16" s="63">
        <f t="shared" si="2"/>
        <v>-5899966388.0773401</v>
      </c>
      <c r="J16" s="63">
        <f t="shared" si="2"/>
        <v>-6136865320.1766109</v>
      </c>
      <c r="K16" s="63">
        <f t="shared" si="2"/>
        <v>-6383421552.5680695</v>
      </c>
      <c r="L16" s="63">
        <f t="shared" si="2"/>
        <v>-6640033636.9785471</v>
      </c>
      <c r="M16" s="63">
        <f t="shared" si="2"/>
        <v>-1462085425.3945649</v>
      </c>
      <c r="N16" s="63">
        <f t="shared" si="2"/>
        <v>0</v>
      </c>
      <c r="O16" s="63">
        <f t="shared" si="2"/>
        <v>0</v>
      </c>
      <c r="P16" s="63">
        <f t="shared" si="2"/>
        <v>0</v>
      </c>
      <c r="Q16" s="63">
        <f t="shared" si="2"/>
        <v>0</v>
      </c>
      <c r="R16" s="63">
        <f t="shared" si="2"/>
        <v>0</v>
      </c>
      <c r="S16" s="63">
        <f t="shared" si="2"/>
        <v>0</v>
      </c>
      <c r="T16" s="63">
        <f t="shared" si="2"/>
        <v>0</v>
      </c>
      <c r="U16" s="63">
        <f t="shared" si="2"/>
        <v>0</v>
      </c>
      <c r="V16" s="63">
        <f t="shared" si="2"/>
        <v>0</v>
      </c>
      <c r="W16" s="63">
        <f t="shared" si="2"/>
        <v>0</v>
      </c>
      <c r="X16" s="87">
        <f t="shared" si="0"/>
        <v>-47248937250.953484</v>
      </c>
    </row>
    <row r="17" spans="1:24" ht="15" customHeight="1" x14ac:dyDescent="0.2">
      <c r="A17" s="97" t="s">
        <v>452</v>
      </c>
      <c r="B17" s="70" t="s">
        <v>88</v>
      </c>
      <c r="C17" s="101">
        <f t="shared" ref="C17:W17" si="3">C5+C16</f>
        <v>0</v>
      </c>
      <c r="D17" s="101">
        <f t="shared" si="3"/>
        <v>1858415399.8995605</v>
      </c>
      <c r="E17" s="101">
        <f t="shared" si="3"/>
        <v>3936810168.5158024</v>
      </c>
      <c r="F17" s="101">
        <f t="shared" si="3"/>
        <v>5228599905.0805874</v>
      </c>
      <c r="G17" s="101">
        <f t="shared" si="3"/>
        <v>5546874585.6128607</v>
      </c>
      <c r="H17" s="101">
        <f t="shared" si="3"/>
        <v>4141398615.9303784</v>
      </c>
      <c r="I17" s="101">
        <f t="shared" si="3"/>
        <v>6241949656.4391241</v>
      </c>
      <c r="J17" s="101">
        <f t="shared" si="3"/>
        <v>6619431676.1923866</v>
      </c>
      <c r="K17" s="101">
        <f t="shared" si="3"/>
        <v>7018344071.8171978</v>
      </c>
      <c r="L17" s="101">
        <f t="shared" si="3"/>
        <v>7439861328.0006151</v>
      </c>
      <c r="M17" s="101">
        <f t="shared" si="3"/>
        <v>1583395855.5304272</v>
      </c>
      <c r="N17" s="101">
        <f t="shared" si="3"/>
        <v>0</v>
      </c>
      <c r="O17" s="101">
        <f t="shared" si="3"/>
        <v>0</v>
      </c>
      <c r="P17" s="101">
        <f t="shared" si="3"/>
        <v>0</v>
      </c>
      <c r="Q17" s="101">
        <f t="shared" si="3"/>
        <v>0</v>
      </c>
      <c r="R17" s="101">
        <f t="shared" si="3"/>
        <v>0</v>
      </c>
      <c r="S17" s="101">
        <f t="shared" si="3"/>
        <v>0</v>
      </c>
      <c r="T17" s="101">
        <f t="shared" si="3"/>
        <v>0</v>
      </c>
      <c r="U17" s="101">
        <f t="shared" si="3"/>
        <v>0</v>
      </c>
      <c r="V17" s="101">
        <f t="shared" si="3"/>
        <v>0</v>
      </c>
      <c r="W17" s="101">
        <f t="shared" si="3"/>
        <v>0</v>
      </c>
      <c r="X17" s="90">
        <f t="shared" si="0"/>
        <v>49615081263.018944</v>
      </c>
    </row>
    <row r="18" spans="1:24" ht="15" customHeight="1" x14ac:dyDescent="0.2">
      <c r="A18" s="22" t="s">
        <v>453</v>
      </c>
      <c r="B18" s="4" t="s">
        <v>117</v>
      </c>
      <c r="C18" s="44" t="str">
        <f t="shared" ref="C18:W18" si="4">IF(C5=0,"–",C17/C5)</f>
        <v>–</v>
      </c>
      <c r="D18" s="44">
        <f t="shared" si="4"/>
        <v>0.48441632570025589</v>
      </c>
      <c r="E18" s="44">
        <f t="shared" si="4"/>
        <v>0.49376107173828876</v>
      </c>
      <c r="F18" s="44">
        <f t="shared" si="4"/>
        <v>0.49935611725222362</v>
      </c>
      <c r="G18" s="44">
        <f t="shared" si="4"/>
        <v>0.50423839755142374</v>
      </c>
      <c r="H18" s="44">
        <f t="shared" si="4"/>
        <v>0.50765057239904887</v>
      </c>
      <c r="I18" s="44">
        <f t="shared" si="4"/>
        <v>0.51408275543612536</v>
      </c>
      <c r="J18" s="44">
        <f t="shared" si="4"/>
        <v>0.51891482912921894</v>
      </c>
      <c r="K18" s="44">
        <f t="shared" si="4"/>
        <v>0.52368801757336547</v>
      </c>
      <c r="L18" s="44">
        <f t="shared" si="4"/>
        <v>0.52840318386648033</v>
      </c>
      <c r="M18" s="44">
        <f t="shared" si="4"/>
        <v>0.51991646294063198</v>
      </c>
      <c r="N18" s="44" t="str">
        <f t="shared" si="4"/>
        <v>–</v>
      </c>
      <c r="O18" s="44" t="str">
        <f t="shared" si="4"/>
        <v>–</v>
      </c>
      <c r="P18" s="44" t="str">
        <f t="shared" si="4"/>
        <v>–</v>
      </c>
      <c r="Q18" s="44" t="str">
        <f t="shared" si="4"/>
        <v>–</v>
      </c>
      <c r="R18" s="44" t="str">
        <f t="shared" si="4"/>
        <v>–</v>
      </c>
      <c r="S18" s="44" t="str">
        <f t="shared" si="4"/>
        <v>–</v>
      </c>
      <c r="T18" s="44" t="str">
        <f t="shared" si="4"/>
        <v>–</v>
      </c>
      <c r="U18" s="44" t="str">
        <f t="shared" si="4"/>
        <v>–</v>
      </c>
      <c r="V18" s="44" t="str">
        <f t="shared" si="4"/>
        <v>–</v>
      </c>
      <c r="W18" s="44" t="str">
        <f t="shared" si="4"/>
        <v>–</v>
      </c>
      <c r="X18" s="63">
        <f t="shared" si="0"/>
        <v>5.0944277335870627</v>
      </c>
    </row>
    <row r="19" spans="1:24" ht="15" customHeight="1" x14ac:dyDescent="0.2">
      <c r="A19" s="22" t="s">
        <v>454</v>
      </c>
      <c r="B19" s="4" t="s">
        <v>88</v>
      </c>
      <c r="C19" s="79">
        <f>-'Fixed Assets'!C34-Exploration!C14</f>
        <v>0</v>
      </c>
      <c r="D19" s="79">
        <f>-'Fixed Assets'!D34-Exploration!D14</f>
        <v>-92000000</v>
      </c>
      <c r="E19" s="79">
        <f>-'Fixed Assets'!E34-Exploration!E14</f>
        <v>-92000000</v>
      </c>
      <c r="F19" s="79">
        <f>-'Fixed Assets'!F34-Exploration!F14</f>
        <v>-92000000</v>
      </c>
      <c r="G19" s="79">
        <f>-'Fixed Assets'!G34-Exploration!G14</f>
        <v>-92900000</v>
      </c>
      <c r="H19" s="79">
        <f>-'Fixed Assets'!H34-Exploration!H14</f>
        <v>-93800000</v>
      </c>
      <c r="I19" s="79">
        <f>-'Fixed Assets'!I34-Exploration!I14</f>
        <v>-103700000</v>
      </c>
      <c r="J19" s="79">
        <f>-'Fixed Assets'!J34-Exploration!J14</f>
        <v>-104600000</v>
      </c>
      <c r="K19" s="79">
        <f>-'Fixed Assets'!K34-Exploration!K14</f>
        <v>-105500000</v>
      </c>
      <c r="L19" s="79">
        <f>-'Fixed Assets'!L34-Exploration!L14</f>
        <v>-106400000</v>
      </c>
      <c r="M19" s="79">
        <f>-'Fixed Assets'!M34-Exploration!M14</f>
        <v>-107300000</v>
      </c>
      <c r="N19" s="79">
        <f>-'Fixed Assets'!N34-Exploration!N14</f>
        <v>0</v>
      </c>
      <c r="O19" s="79">
        <f>-'Fixed Assets'!O34-Exploration!O14</f>
        <v>0</v>
      </c>
      <c r="P19" s="79">
        <f>-'Fixed Assets'!P34-Exploration!P14</f>
        <v>0</v>
      </c>
      <c r="Q19" s="79">
        <f>-'Fixed Assets'!Q34-Exploration!Q14</f>
        <v>0</v>
      </c>
      <c r="R19" s="79">
        <f>-'Fixed Assets'!R34-Exploration!R14</f>
        <v>0</v>
      </c>
      <c r="S19" s="79">
        <f>-'Fixed Assets'!S34-Exploration!S14</f>
        <v>0</v>
      </c>
      <c r="T19" s="79">
        <f>-'Fixed Assets'!T34-Exploration!T14</f>
        <v>0</v>
      </c>
      <c r="U19" s="79">
        <f>-'Fixed Assets'!U34-Exploration!U14</f>
        <v>0</v>
      </c>
      <c r="V19" s="79">
        <f>-'Fixed Assets'!V34-Exploration!V14</f>
        <v>0</v>
      </c>
      <c r="W19" s="79">
        <f>-'Fixed Assets'!W34-Exploration!W14</f>
        <v>0</v>
      </c>
      <c r="X19" s="87">
        <f t="shared" si="0"/>
        <v>-990200000</v>
      </c>
    </row>
    <row r="20" spans="1:24" ht="15" customHeight="1" x14ac:dyDescent="0.2">
      <c r="A20" s="97" t="s">
        <v>455</v>
      </c>
      <c r="B20" s="70" t="s">
        <v>88</v>
      </c>
      <c r="C20" s="101">
        <f t="shared" ref="C20:W20" si="5">C17+C19</f>
        <v>0</v>
      </c>
      <c r="D20" s="101">
        <f t="shared" si="5"/>
        <v>1766415399.8995605</v>
      </c>
      <c r="E20" s="101">
        <f t="shared" si="5"/>
        <v>3844810168.5158024</v>
      </c>
      <c r="F20" s="101">
        <f t="shared" si="5"/>
        <v>5136599905.0805874</v>
      </c>
      <c r="G20" s="101">
        <f t="shared" si="5"/>
        <v>5453974585.6128607</v>
      </c>
      <c r="H20" s="101">
        <f t="shared" si="5"/>
        <v>4047598615.9303784</v>
      </c>
      <c r="I20" s="101">
        <f t="shared" si="5"/>
        <v>6138249656.4391241</v>
      </c>
      <c r="J20" s="101">
        <f t="shared" si="5"/>
        <v>6514831676.1923866</v>
      </c>
      <c r="K20" s="101">
        <f t="shared" si="5"/>
        <v>6912844071.8171978</v>
      </c>
      <c r="L20" s="101">
        <f t="shared" si="5"/>
        <v>7333461328.0006151</v>
      </c>
      <c r="M20" s="101">
        <f t="shared" si="5"/>
        <v>1476095855.5304272</v>
      </c>
      <c r="N20" s="101">
        <f t="shared" si="5"/>
        <v>0</v>
      </c>
      <c r="O20" s="101">
        <f t="shared" si="5"/>
        <v>0</v>
      </c>
      <c r="P20" s="101">
        <f t="shared" si="5"/>
        <v>0</v>
      </c>
      <c r="Q20" s="101">
        <f t="shared" si="5"/>
        <v>0</v>
      </c>
      <c r="R20" s="101">
        <f t="shared" si="5"/>
        <v>0</v>
      </c>
      <c r="S20" s="101">
        <f t="shared" si="5"/>
        <v>0</v>
      </c>
      <c r="T20" s="101">
        <f t="shared" si="5"/>
        <v>0</v>
      </c>
      <c r="U20" s="101">
        <f t="shared" si="5"/>
        <v>0</v>
      </c>
      <c r="V20" s="101">
        <f t="shared" si="5"/>
        <v>0</v>
      </c>
      <c r="W20" s="101">
        <f t="shared" si="5"/>
        <v>0</v>
      </c>
      <c r="X20" s="90">
        <f t="shared" si="0"/>
        <v>48624881263.018944</v>
      </c>
    </row>
    <row r="21" spans="1:24" ht="15" customHeight="1" x14ac:dyDescent="0.2">
      <c r="A21" s="22" t="s">
        <v>456</v>
      </c>
      <c r="B21" s="4" t="s">
        <v>117</v>
      </c>
      <c r="C21" s="44" t="str">
        <f t="shared" ref="C21:W21" si="6">IF(C5=0,"–",C20/C5)</f>
        <v>–</v>
      </c>
      <c r="D21" s="44">
        <f t="shared" si="6"/>
        <v>0.46043551819789008</v>
      </c>
      <c r="E21" s="44">
        <f t="shared" si="6"/>
        <v>0.48222228356830993</v>
      </c>
      <c r="F21" s="44">
        <f t="shared" si="6"/>
        <v>0.49056968041995341</v>
      </c>
      <c r="G21" s="44">
        <f t="shared" si="6"/>
        <v>0.49579332701494039</v>
      </c>
      <c r="H21" s="44">
        <f t="shared" si="6"/>
        <v>0.49615261528188948</v>
      </c>
      <c r="I21" s="44">
        <f t="shared" si="6"/>
        <v>0.50554209351589796</v>
      </c>
      <c r="J21" s="44">
        <f t="shared" si="6"/>
        <v>0.5107149573302342</v>
      </c>
      <c r="K21" s="44">
        <f t="shared" si="6"/>
        <v>0.51581592049624336</v>
      </c>
      <c r="L21" s="44">
        <f t="shared" si="6"/>
        <v>0.52084630931133291</v>
      </c>
      <c r="M21" s="44">
        <f t="shared" si="6"/>
        <v>0.48468393641943464</v>
      </c>
      <c r="N21" s="44" t="str">
        <f t="shared" si="6"/>
        <v>–</v>
      </c>
      <c r="O21" s="44" t="str">
        <f t="shared" si="6"/>
        <v>–</v>
      </c>
      <c r="P21" s="44" t="str">
        <f t="shared" si="6"/>
        <v>–</v>
      </c>
      <c r="Q21" s="44" t="str">
        <f t="shared" si="6"/>
        <v>–</v>
      </c>
      <c r="R21" s="44" t="str">
        <f t="shared" si="6"/>
        <v>–</v>
      </c>
      <c r="S21" s="44" t="str">
        <f t="shared" si="6"/>
        <v>–</v>
      </c>
      <c r="T21" s="44" t="str">
        <f t="shared" si="6"/>
        <v>–</v>
      </c>
      <c r="U21" s="44" t="str">
        <f t="shared" si="6"/>
        <v>–</v>
      </c>
      <c r="V21" s="44" t="str">
        <f t="shared" si="6"/>
        <v>–</v>
      </c>
      <c r="W21" s="44" t="str">
        <f t="shared" si="6"/>
        <v>–</v>
      </c>
      <c r="X21" s="17"/>
    </row>
    <row r="22" spans="1:24" ht="15" customHeight="1" x14ac:dyDescent="0.2">
      <c r="A22" s="22" t="s">
        <v>457</v>
      </c>
      <c r="B22" s="4" t="s">
        <v>88</v>
      </c>
      <c r="C22" s="79">
        <f>'Fixed Assets'!C38</f>
        <v>0</v>
      </c>
      <c r="D22" s="79">
        <f>'Fixed Assets'!D38</f>
        <v>0</v>
      </c>
      <c r="E22" s="79">
        <f>'Fixed Assets'!E38</f>
        <v>0</v>
      </c>
      <c r="F22" s="79">
        <f>'Fixed Assets'!F38</f>
        <v>0</v>
      </c>
      <c r="G22" s="79">
        <f>'Fixed Assets'!G38</f>
        <v>0</v>
      </c>
      <c r="H22" s="79">
        <f>'Fixed Assets'!H38</f>
        <v>0</v>
      </c>
      <c r="I22" s="79">
        <f>'Fixed Assets'!I38</f>
        <v>0</v>
      </c>
      <c r="J22" s="79">
        <f>'Fixed Assets'!J38</f>
        <v>0</v>
      </c>
      <c r="K22" s="79">
        <f>'Fixed Assets'!K38</f>
        <v>0</v>
      </c>
      <c r="L22" s="79">
        <f>'Fixed Assets'!L38</f>
        <v>0</v>
      </c>
      <c r="M22" s="79">
        <f>'Fixed Assets'!M38</f>
        <v>-5300000</v>
      </c>
      <c r="N22" s="79">
        <f>'Fixed Assets'!N38</f>
        <v>0</v>
      </c>
      <c r="O22" s="79">
        <f>'Fixed Assets'!O38</f>
        <v>0</v>
      </c>
      <c r="P22" s="79">
        <f>'Fixed Assets'!P38</f>
        <v>0</v>
      </c>
      <c r="Q22" s="79">
        <f>'Fixed Assets'!Q38</f>
        <v>0</v>
      </c>
      <c r="R22" s="79">
        <f>'Fixed Assets'!R38</f>
        <v>0</v>
      </c>
      <c r="S22" s="79">
        <f>'Fixed Assets'!S38</f>
        <v>0</v>
      </c>
      <c r="T22" s="79">
        <f>'Fixed Assets'!T38</f>
        <v>0</v>
      </c>
      <c r="U22" s="79">
        <f>'Fixed Assets'!U38</f>
        <v>0</v>
      </c>
      <c r="V22" s="79">
        <f>'Fixed Assets'!V38</f>
        <v>0</v>
      </c>
      <c r="W22" s="79">
        <f>'Fixed Assets'!W38</f>
        <v>0</v>
      </c>
      <c r="X22" s="63">
        <f>SUM(C22:W22)</f>
        <v>-5300000</v>
      </c>
    </row>
    <row r="23" spans="1:24" ht="15" customHeight="1" x14ac:dyDescent="0.2">
      <c r="A23" s="22" t="s">
        <v>458</v>
      </c>
      <c r="B23" s="4" t="s">
        <v>88</v>
      </c>
      <c r="C23" s="79">
        <f>'Debt Schedule'!C10</f>
        <v>0</v>
      </c>
      <c r="D23" s="79">
        <f>'Debt Schedule'!D10</f>
        <v>-60636250</v>
      </c>
      <c r="E23" s="79">
        <f>'Debt Schedule'!E10</f>
        <v>-60636250</v>
      </c>
      <c r="F23" s="79">
        <f>'Debt Schedule'!F10</f>
        <v>-56038928.571428575</v>
      </c>
      <c r="G23" s="79">
        <f>'Debt Schedule'!G10</f>
        <v>-51441607.142857149</v>
      </c>
      <c r="H23" s="79">
        <f>'Debt Schedule'!H10</f>
        <v>-46844285.714285716</v>
      </c>
      <c r="I23" s="79">
        <f>'Debt Schedule'!I10</f>
        <v>-13791964.285714289</v>
      </c>
      <c r="J23" s="79">
        <f>'Debt Schedule'!J10</f>
        <v>-9194642.8571428619</v>
      </c>
      <c r="K23" s="79">
        <f>'Debt Schedule'!K10</f>
        <v>-4597321.4285714328</v>
      </c>
      <c r="L23" s="79">
        <f>'Debt Schedule'!L10</f>
        <v>-4.2468309402465825E-9</v>
      </c>
      <c r="M23" s="79">
        <f>'Debt Schedule'!M10</f>
        <v>-4.2468309402465825E-9</v>
      </c>
      <c r="N23" s="79">
        <f>'Debt Schedule'!N10</f>
        <v>-4.2468309402465825E-9</v>
      </c>
      <c r="O23" s="79">
        <f>'Debt Schedule'!O10</f>
        <v>-4.2468309402465825E-9</v>
      </c>
      <c r="P23" s="79">
        <f>'Debt Schedule'!P10</f>
        <v>-4.2468309402465825E-9</v>
      </c>
      <c r="Q23" s="79">
        <f>'Debt Schedule'!Q10</f>
        <v>-4.2468309402465825E-9</v>
      </c>
      <c r="R23" s="79">
        <f>'Debt Schedule'!R10</f>
        <v>-4.2468309402465825E-9</v>
      </c>
      <c r="S23" s="79">
        <f>'Debt Schedule'!S10</f>
        <v>-4.2468309402465825E-9</v>
      </c>
      <c r="T23" s="79">
        <f>'Debt Schedule'!T10</f>
        <v>-4.2468309402465825E-9</v>
      </c>
      <c r="U23" s="79">
        <f>'Debt Schedule'!U10</f>
        <v>-4.2468309402465825E-9</v>
      </c>
      <c r="V23" s="79">
        <f>'Debt Schedule'!V10</f>
        <v>-4.2468309402465825E-9</v>
      </c>
      <c r="W23" s="79">
        <f>'Debt Schedule'!W10</f>
        <v>-4.2468309402465825E-9</v>
      </c>
      <c r="X23" s="63">
        <f>SUM(C23:W23)</f>
        <v>-303181250</v>
      </c>
    </row>
    <row r="24" spans="1:24" ht="15" customHeight="1" x14ac:dyDescent="0.2">
      <c r="A24" s="22" t="s">
        <v>193</v>
      </c>
      <c r="B24" s="4" t="s">
        <v>88</v>
      </c>
      <c r="C24" s="102">
        <v>0</v>
      </c>
      <c r="D24" s="79">
        <f>MAX(0,'Cash Flow'!C33)*Assumptions!B82</f>
        <v>28275000</v>
      </c>
      <c r="E24" s="79">
        <f>MAX(0,'Cash Flow'!D33)*Assumptions!B82</f>
        <v>325000</v>
      </c>
      <c r="F24" s="79">
        <f>MAX(0,'Cash Flow'!E33)*Assumptions!B82</f>
        <v>325000</v>
      </c>
      <c r="G24" s="79">
        <f>MAX(0,'Cash Flow'!F33)*Assumptions!B82</f>
        <v>325000</v>
      </c>
      <c r="H24" s="79">
        <f>MAX(0,'Cash Flow'!G33)*Assumptions!B82</f>
        <v>325000</v>
      </c>
      <c r="I24" s="79">
        <f>MAX(0,'Cash Flow'!H33)*Assumptions!B82</f>
        <v>325000</v>
      </c>
      <c r="J24" s="79">
        <f>MAX(0,'Cash Flow'!I33)*Assumptions!B82</f>
        <v>325000</v>
      </c>
      <c r="K24" s="79">
        <f>MAX(0,'Cash Flow'!J33)*Assumptions!B82</f>
        <v>325000</v>
      </c>
      <c r="L24" s="79">
        <f>MAX(0,'Cash Flow'!K33)*Assumptions!B82</f>
        <v>325000</v>
      </c>
      <c r="M24" s="79">
        <f>MAX(0,'Cash Flow'!L33)*Assumptions!B82</f>
        <v>325000</v>
      </c>
      <c r="N24" s="79">
        <f>MAX(0,'Cash Flow'!M33)*Assumptions!B82</f>
        <v>325000</v>
      </c>
      <c r="O24" s="79">
        <f>MAX(0,'Cash Flow'!N33)*Assumptions!B82</f>
        <v>43168869.400246046</v>
      </c>
      <c r="P24" s="79">
        <f>MAX(0,'Cash Flow'!O33)*Assumptions!B82</f>
        <v>45974845.911262043</v>
      </c>
      <c r="Q24" s="79">
        <f>MAX(0,'Cash Flow'!P33)*Assumptions!B82</f>
        <v>48963210.895494074</v>
      </c>
      <c r="R24" s="79">
        <f>MAX(0,'Cash Flow'!Q33)*Assumptions!B82</f>
        <v>52145819.603701189</v>
      </c>
      <c r="S24" s="79">
        <f>MAX(0,'Cash Flow'!R33)*Assumptions!B82</f>
        <v>55535297.877941772</v>
      </c>
      <c r="T24" s="79">
        <f>MAX(0,'Cash Flow'!S33)*Assumptions!B82</f>
        <v>59145092.240007982</v>
      </c>
      <c r="U24" s="79">
        <f>MAX(0,'Cash Flow'!T33)*Assumptions!B82</f>
        <v>62989523.235608503</v>
      </c>
      <c r="V24" s="79">
        <f>MAX(0,'Cash Flow'!U33)*Assumptions!B82</f>
        <v>67083842.24592305</v>
      </c>
      <c r="W24" s="79">
        <f>MAX(0,'Cash Flow'!V33)*Assumptions!B82</f>
        <v>71444291.991908044</v>
      </c>
      <c r="X24" s="63">
        <f>SUM(C24:W24)</f>
        <v>537975793.4020927</v>
      </c>
    </row>
    <row r="25" spans="1:24" ht="15" customHeight="1" x14ac:dyDescent="0.2">
      <c r="A25" s="97" t="s">
        <v>459</v>
      </c>
      <c r="B25" s="70" t="s">
        <v>88</v>
      </c>
      <c r="C25" s="101">
        <f t="shared" ref="C25:W25" si="7">C20+C22+C23+C24</f>
        <v>0</v>
      </c>
      <c r="D25" s="101">
        <f t="shared" si="7"/>
        <v>1734054149.8995605</v>
      </c>
      <c r="E25" s="101">
        <f t="shared" si="7"/>
        <v>3784498918.5158024</v>
      </c>
      <c r="F25" s="101">
        <f t="shared" si="7"/>
        <v>5080885976.5091591</v>
      </c>
      <c r="G25" s="101">
        <f t="shared" si="7"/>
        <v>5402857978.4700031</v>
      </c>
      <c r="H25" s="101">
        <f t="shared" si="7"/>
        <v>4001079330.2160926</v>
      </c>
      <c r="I25" s="101">
        <f t="shared" si="7"/>
        <v>6124782692.15341</v>
      </c>
      <c r="J25" s="101">
        <f t="shared" si="7"/>
        <v>6505962033.3352442</v>
      </c>
      <c r="K25" s="101">
        <f t="shared" si="7"/>
        <v>6908571750.3886261</v>
      </c>
      <c r="L25" s="101">
        <f t="shared" si="7"/>
        <v>7333786328.0006151</v>
      </c>
      <c r="M25" s="101">
        <f t="shared" si="7"/>
        <v>1471120855.5304272</v>
      </c>
      <c r="N25" s="101">
        <f t="shared" si="7"/>
        <v>324999.99999999575</v>
      </c>
      <c r="O25" s="101">
        <f t="shared" si="7"/>
        <v>43168869.400246039</v>
      </c>
      <c r="P25" s="101">
        <f t="shared" si="7"/>
        <v>45974845.911262035</v>
      </c>
      <c r="Q25" s="101">
        <f t="shared" si="7"/>
        <v>48963210.895494066</v>
      </c>
      <c r="R25" s="101">
        <f t="shared" si="7"/>
        <v>52145819.603701182</v>
      </c>
      <c r="S25" s="101">
        <f t="shared" si="7"/>
        <v>55535297.877941765</v>
      </c>
      <c r="T25" s="101">
        <f t="shared" si="7"/>
        <v>59145092.240007974</v>
      </c>
      <c r="U25" s="101">
        <f t="shared" si="7"/>
        <v>62989523.235608496</v>
      </c>
      <c r="V25" s="101">
        <f t="shared" si="7"/>
        <v>67083842.245923042</v>
      </c>
      <c r="W25" s="101">
        <f t="shared" si="7"/>
        <v>71444291.991908044</v>
      </c>
      <c r="X25" s="90">
        <f>SUM(C25:W25)</f>
        <v>48854375806.421036</v>
      </c>
    </row>
    <row r="26" spans="1:24" ht="15" customHeight="1" x14ac:dyDescent="0.2">
      <c r="A26" s="22" t="s">
        <v>460</v>
      </c>
      <c r="B26" s="4" t="s">
        <v>117</v>
      </c>
      <c r="C26" s="44" t="str">
        <f t="shared" ref="C26:W26" si="8">IF(C5=0,"–",C25/C5)</f>
        <v>–</v>
      </c>
      <c r="D26" s="44">
        <f t="shared" si="8"/>
        <v>0.45200020399369512</v>
      </c>
      <c r="E26" s="44">
        <f t="shared" si="8"/>
        <v>0.47465794945943346</v>
      </c>
      <c r="F26" s="44">
        <f t="shared" si="8"/>
        <v>0.48524873570179616</v>
      </c>
      <c r="G26" s="44">
        <f t="shared" si="8"/>
        <v>0.49114657402347495</v>
      </c>
      <c r="H26" s="44">
        <f t="shared" si="8"/>
        <v>0.49045030449016513</v>
      </c>
      <c r="I26" s="44">
        <f t="shared" si="8"/>
        <v>0.50443296343821176</v>
      </c>
      <c r="J26" s="44">
        <f t="shared" si="8"/>
        <v>0.51001964247046983</v>
      </c>
      <c r="K26" s="44">
        <f t="shared" si="8"/>
        <v>0.51549713254334872</v>
      </c>
      <c r="L26" s="44">
        <f t="shared" si="8"/>
        <v>0.52086939186988945</v>
      </c>
      <c r="M26" s="44">
        <f t="shared" si="8"/>
        <v>0.48305036867066525</v>
      </c>
      <c r="N26" s="44" t="str">
        <f t="shared" si="8"/>
        <v>–</v>
      </c>
      <c r="O26" s="44" t="str">
        <f t="shared" si="8"/>
        <v>–</v>
      </c>
      <c r="P26" s="44" t="str">
        <f t="shared" si="8"/>
        <v>–</v>
      </c>
      <c r="Q26" s="44" t="str">
        <f t="shared" si="8"/>
        <v>–</v>
      </c>
      <c r="R26" s="44" t="str">
        <f t="shared" si="8"/>
        <v>–</v>
      </c>
      <c r="S26" s="44" t="str">
        <f t="shared" si="8"/>
        <v>–</v>
      </c>
      <c r="T26" s="44" t="str">
        <f t="shared" si="8"/>
        <v>–</v>
      </c>
      <c r="U26" s="44" t="str">
        <f t="shared" si="8"/>
        <v>–</v>
      </c>
      <c r="V26" s="44" t="str">
        <f t="shared" si="8"/>
        <v>–</v>
      </c>
      <c r="W26" s="44" t="str">
        <f t="shared" si="8"/>
        <v>–</v>
      </c>
      <c r="X26" s="17"/>
    </row>
    <row r="27" spans="1:24" ht="15" customHeight="1" x14ac:dyDescent="0.2">
      <c r="A27" s="22" t="s">
        <v>461</v>
      </c>
      <c r="B27" s="4" t="s">
        <v>88</v>
      </c>
      <c r="C27" s="79">
        <f>'SA Tax Computation'!C30</f>
        <v>0</v>
      </c>
      <c r="D27" s="79">
        <f>'SA Tax Computation'!D30</f>
        <v>-259669589.61287019</v>
      </c>
      <c r="E27" s="79">
        <f>'SA Tax Computation'!E30</f>
        <v>-1180596802.5671194</v>
      </c>
      <c r="F27" s="79">
        <f>'SA Tax Computation'!F30</f>
        <v>-1575849610.8775897</v>
      </c>
      <c r="G27" s="79">
        <f>'SA Tax Computation'!G30</f>
        <v>-1676619209.5156324</v>
      </c>
      <c r="H27" s="79">
        <f>'SA Tax Computation'!H30</f>
        <v>-1218043466.3225315</v>
      </c>
      <c r="I27" s="79">
        <f>'SA Tax Computation'!I30</f>
        <v>-1906341542.5583792</v>
      </c>
      <c r="J27" s="79">
        <f>'SA Tax Computation'!J30</f>
        <v>-2025804042.3787098</v>
      </c>
      <c r="K27" s="79">
        <f>'SA Tax Computation'!K30</f>
        <v>-2152024379.5005832</v>
      </c>
      <c r="L27" s="79">
        <f>'SA Tax Computation'!L30</f>
        <v>-2285375137.0985637</v>
      </c>
      <c r="M27" s="79">
        <f>'SA Tax Computation'!M30</f>
        <v>-481761909.08762044</v>
      </c>
      <c r="N27" s="79">
        <f>'SA Tax Computation'!N30</f>
        <v>0</v>
      </c>
      <c r="O27" s="79">
        <f>'SA Tax Computation'!O30</f>
        <v>0</v>
      </c>
      <c r="P27" s="79">
        <f>'SA Tax Computation'!P30</f>
        <v>0</v>
      </c>
      <c r="Q27" s="79">
        <f>'SA Tax Computation'!Q30</f>
        <v>0</v>
      </c>
      <c r="R27" s="79">
        <f>'SA Tax Computation'!R30</f>
        <v>0</v>
      </c>
      <c r="S27" s="79">
        <f>'SA Tax Computation'!S30</f>
        <v>0</v>
      </c>
      <c r="T27" s="79">
        <f>'SA Tax Computation'!T30</f>
        <v>0</v>
      </c>
      <c r="U27" s="79">
        <f>'SA Tax Computation'!U30</f>
        <v>0</v>
      </c>
      <c r="V27" s="79">
        <f>'SA Tax Computation'!V30</f>
        <v>0</v>
      </c>
      <c r="W27" s="79">
        <f>'SA Tax Computation'!W30</f>
        <v>0</v>
      </c>
      <c r="X27" s="87">
        <f>SUM(C27:W27)</f>
        <v>-14762085689.5196</v>
      </c>
    </row>
    <row r="28" spans="1:24" ht="15" customHeight="1" x14ac:dyDescent="0.2">
      <c r="A28" s="22" t="s">
        <v>283</v>
      </c>
      <c r="B28" s="4" t="s">
        <v>88</v>
      </c>
      <c r="C28" s="63">
        <f>-ABS(C16)*Assumptions!E18*Assumptions!E17</f>
        <v>0</v>
      </c>
      <c r="D28" s="63">
        <f>-ABS(D16)*Assumptions!E18*Assumptions!E17</f>
        <v>-8900936.3483292256</v>
      </c>
      <c r="E28" s="63">
        <f>-ABS(E16)*Assumptions!E18*Assumptions!E17</f>
        <v>-18163338.577064171</v>
      </c>
      <c r="F28" s="63">
        <f>-ABS(F16)*Assumptions!E18*Assumptions!E17</f>
        <v>-23589376.60558207</v>
      </c>
      <c r="G28" s="63">
        <f>-ABS(G16)*Assumptions!E18*Assumptions!E17</f>
        <v>-24541315.197816148</v>
      </c>
      <c r="H28" s="63">
        <f>-ABS(H16)*Assumptions!E18*Assumptions!E17</f>
        <v>-18074575.446120996</v>
      </c>
      <c r="I28" s="63">
        <f>-ABS(I16)*Assumptions!E18*Assumptions!E17</f>
        <v>-26549848.746348035</v>
      </c>
      <c r="J28" s="63">
        <f>-ABS(J16)*Assumptions!E18*Assumptions!E17</f>
        <v>-27615893.940794751</v>
      </c>
      <c r="K28" s="63">
        <f>-ABS(K16)*Assumptions!E18*Assumptions!E17</f>
        <v>-28725396.986556318</v>
      </c>
      <c r="L28" s="63">
        <f>-ABS(L16)*Assumptions!E18*Assumptions!E17</f>
        <v>-29880151.366403461</v>
      </c>
      <c r="M28" s="63">
        <f>-ABS(M16)*Assumptions!E18*Assumptions!E17</f>
        <v>-6579384.4142755428</v>
      </c>
      <c r="N28" s="63">
        <f>-ABS(N16)*Assumptions!E18*Assumptions!E17</f>
        <v>0</v>
      </c>
      <c r="O28" s="63">
        <f>-ABS(O16)*Assumptions!E18*Assumptions!E17</f>
        <v>0</v>
      </c>
      <c r="P28" s="63">
        <f>-ABS(P16)*Assumptions!E18*Assumptions!E17</f>
        <v>0</v>
      </c>
      <c r="Q28" s="63">
        <f>-ABS(Q16)*Assumptions!E18*Assumptions!E17</f>
        <v>0</v>
      </c>
      <c r="R28" s="63">
        <f>-ABS(R16)*Assumptions!E18*Assumptions!E17</f>
        <v>0</v>
      </c>
      <c r="S28" s="63">
        <f>-ABS(S16)*Assumptions!E18*Assumptions!E17</f>
        <v>0</v>
      </c>
      <c r="T28" s="63">
        <f>-ABS(T16)*Assumptions!E18*Assumptions!E17</f>
        <v>0</v>
      </c>
      <c r="U28" s="63">
        <f>-ABS(U16)*Assumptions!E18*Assumptions!E17</f>
        <v>0</v>
      </c>
      <c r="V28" s="63">
        <f>-ABS(V16)*Assumptions!E18*Assumptions!E17</f>
        <v>0</v>
      </c>
      <c r="W28" s="63">
        <f>-ABS(W16)*Assumptions!E18*Assumptions!E17</f>
        <v>0</v>
      </c>
      <c r="X28" s="87">
        <f>SUM(C28:W28)</f>
        <v>-212620217.62929073</v>
      </c>
    </row>
    <row r="29" spans="1:24" ht="15" customHeight="1" x14ac:dyDescent="0.2">
      <c r="A29" s="22" t="s">
        <v>462</v>
      </c>
      <c r="B29" s="4" t="s">
        <v>88</v>
      </c>
      <c r="C29" s="79">
        <f>-'SA Tax Computation'!C37</f>
        <v>-248400000.00000003</v>
      </c>
      <c r="D29" s="79">
        <f>-'SA Tax Computation'!D37</f>
        <v>24840000.00000003</v>
      </c>
      <c r="E29" s="79">
        <f>-'SA Tax Computation'!E37</f>
        <v>24840000</v>
      </c>
      <c r="F29" s="79">
        <f>-'SA Tax Computation'!F37</f>
        <v>22410000</v>
      </c>
      <c r="G29" s="79">
        <f>-'SA Tax Computation'!G37</f>
        <v>22653000</v>
      </c>
      <c r="H29" s="79">
        <f>-'SA Tax Computation'!H37</f>
        <v>-1404000</v>
      </c>
      <c r="I29" s="79">
        <f>-'SA Tax Computation'!I37</f>
        <v>25568999.999999985</v>
      </c>
      <c r="J29" s="79">
        <f>-'SA Tax Computation'!J37</f>
        <v>25812000.000000015</v>
      </c>
      <c r="K29" s="79">
        <f>-'SA Tax Computation'!K37</f>
        <v>26055000</v>
      </c>
      <c r="L29" s="79">
        <f>-'SA Tax Computation'!L37</f>
        <v>26298000</v>
      </c>
      <c r="M29" s="79">
        <f>-'SA Tax Computation'!M37</f>
        <v>26541000</v>
      </c>
      <c r="N29" s="79">
        <f>-'SA Tax Computation'!N37</f>
        <v>0</v>
      </c>
      <c r="O29" s="79">
        <f>-'SA Tax Computation'!O37</f>
        <v>0</v>
      </c>
      <c r="P29" s="79">
        <f>-'SA Tax Computation'!P37</f>
        <v>0</v>
      </c>
      <c r="Q29" s="79">
        <f>-'SA Tax Computation'!Q37</f>
        <v>0</v>
      </c>
      <c r="R29" s="79">
        <f>-'SA Tax Computation'!R37</f>
        <v>0</v>
      </c>
      <c r="S29" s="79">
        <f>-'SA Tax Computation'!S37</f>
        <v>0</v>
      </c>
      <c r="T29" s="79">
        <f>-'SA Tax Computation'!T37</f>
        <v>0</v>
      </c>
      <c r="U29" s="79">
        <f>-'SA Tax Computation'!U37</f>
        <v>0</v>
      </c>
      <c r="V29" s="79">
        <f>-'SA Tax Computation'!V37</f>
        <v>0</v>
      </c>
      <c r="W29" s="79">
        <f>-'SA Tax Computation'!W37</f>
        <v>0</v>
      </c>
      <c r="X29" s="87">
        <f>SUM(C29:W29)</f>
        <v>-24786000</v>
      </c>
    </row>
    <row r="30" spans="1:24" ht="15" customHeight="1" x14ac:dyDescent="0.2">
      <c r="A30" s="97" t="s">
        <v>463</v>
      </c>
      <c r="B30" s="70" t="s">
        <v>88</v>
      </c>
      <c r="C30" s="101">
        <f t="shared" ref="C30:W30" si="9">C25+C27+C28+C29</f>
        <v>-248400000.00000003</v>
      </c>
      <c r="D30" s="101">
        <f t="shared" si="9"/>
        <v>1490323623.9383609</v>
      </c>
      <c r="E30" s="101">
        <f t="shared" si="9"/>
        <v>2610578777.3716187</v>
      </c>
      <c r="F30" s="101">
        <f t="shared" si="9"/>
        <v>3503856989.0259871</v>
      </c>
      <c r="G30" s="101">
        <f t="shared" si="9"/>
        <v>3724350453.7565541</v>
      </c>
      <c r="H30" s="101">
        <f t="shared" si="9"/>
        <v>2763557288.4474401</v>
      </c>
      <c r="I30" s="101">
        <f t="shared" si="9"/>
        <v>4217460300.8486829</v>
      </c>
      <c r="J30" s="101">
        <f t="shared" si="9"/>
        <v>4478354097.0157394</v>
      </c>
      <c r="K30" s="101">
        <f t="shared" si="9"/>
        <v>4753876973.9014864</v>
      </c>
      <c r="L30" s="101">
        <f t="shared" si="9"/>
        <v>5044829039.5356483</v>
      </c>
      <c r="M30" s="101">
        <f t="shared" si="9"/>
        <v>1009320562.0285312</v>
      </c>
      <c r="N30" s="101">
        <f t="shared" si="9"/>
        <v>324999.99999999575</v>
      </c>
      <c r="O30" s="101">
        <f t="shared" si="9"/>
        <v>43168869.400246039</v>
      </c>
      <c r="P30" s="101">
        <f t="shared" si="9"/>
        <v>45974845.911262035</v>
      </c>
      <c r="Q30" s="101">
        <f t="shared" si="9"/>
        <v>48963210.895494066</v>
      </c>
      <c r="R30" s="101">
        <f t="shared" si="9"/>
        <v>52145819.603701182</v>
      </c>
      <c r="S30" s="101">
        <f t="shared" si="9"/>
        <v>55535297.877941765</v>
      </c>
      <c r="T30" s="101">
        <f t="shared" si="9"/>
        <v>59145092.240007974</v>
      </c>
      <c r="U30" s="101">
        <f t="shared" si="9"/>
        <v>62989523.235608496</v>
      </c>
      <c r="V30" s="101">
        <f t="shared" si="9"/>
        <v>67083842.245923042</v>
      </c>
      <c r="W30" s="101">
        <f t="shared" si="9"/>
        <v>71444291.991908044</v>
      </c>
      <c r="X30" s="90">
        <f>SUM(C30:W30)</f>
        <v>33854883899.272137</v>
      </c>
    </row>
    <row r="31" spans="1:24" ht="15" customHeight="1" x14ac:dyDescent="0.2">
      <c r="A31" s="22" t="s">
        <v>464</v>
      </c>
      <c r="B31" s="4" t="s">
        <v>117</v>
      </c>
      <c r="C31" s="44" t="str">
        <f t="shared" ref="C31:W31" si="10">IF(C5=0,"–",C30/C5)</f>
        <v>–</v>
      </c>
      <c r="D31" s="44">
        <f t="shared" si="10"/>
        <v>0.38846917328145708</v>
      </c>
      <c r="E31" s="44">
        <f t="shared" si="10"/>
        <v>0.32742299470797254</v>
      </c>
      <c r="F31" s="44">
        <f t="shared" si="10"/>
        <v>0.334634979384623</v>
      </c>
      <c r="G31" s="44">
        <f t="shared" si="10"/>
        <v>0.33856191910180555</v>
      </c>
      <c r="H31" s="44">
        <f t="shared" si="10"/>
        <v>0.3387554711447972</v>
      </c>
      <c r="I31" s="44">
        <f t="shared" si="10"/>
        <v>0.34734718024618311</v>
      </c>
      <c r="J31" s="44">
        <f t="shared" si="10"/>
        <v>0.35107007137655039</v>
      </c>
      <c r="K31" s="44">
        <f t="shared" si="10"/>
        <v>0.3547201993483261</v>
      </c>
      <c r="L31" s="44">
        <f t="shared" si="10"/>
        <v>0.35830018988661644</v>
      </c>
      <c r="M31" s="44">
        <f t="shared" si="10"/>
        <v>0.33141578257278737</v>
      </c>
      <c r="N31" s="44" t="str">
        <f t="shared" si="10"/>
        <v>–</v>
      </c>
      <c r="O31" s="44" t="str">
        <f t="shared" si="10"/>
        <v>–</v>
      </c>
      <c r="P31" s="44" t="str">
        <f t="shared" si="10"/>
        <v>–</v>
      </c>
      <c r="Q31" s="44" t="str">
        <f t="shared" si="10"/>
        <v>–</v>
      </c>
      <c r="R31" s="44" t="str">
        <f t="shared" si="10"/>
        <v>–</v>
      </c>
      <c r="S31" s="44" t="str">
        <f t="shared" si="10"/>
        <v>–</v>
      </c>
      <c r="T31" s="44" t="str">
        <f t="shared" si="10"/>
        <v>–</v>
      </c>
      <c r="U31" s="44" t="str">
        <f t="shared" si="10"/>
        <v>–</v>
      </c>
      <c r="V31" s="44" t="str">
        <f t="shared" si="10"/>
        <v>–</v>
      </c>
      <c r="W31" s="44" t="str">
        <f t="shared" si="10"/>
        <v>–</v>
      </c>
      <c r="X31" s="17"/>
    </row>
    <row r="32" spans="1:24" ht="1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15" customHeight="1" x14ac:dyDescent="0.2">
      <c r="A33" s="22" t="s">
        <v>465</v>
      </c>
      <c r="B33" s="4" t="s">
        <v>88</v>
      </c>
      <c r="C33" s="63">
        <v>0</v>
      </c>
      <c r="D33" s="63">
        <f t="shared" ref="D33:W33" si="11">C35</f>
        <v>-248400000.00000003</v>
      </c>
      <c r="E33" s="63">
        <f t="shared" si="11"/>
        <v>-98914087.701533794</v>
      </c>
      <c r="F33" s="63">
        <f t="shared" si="11"/>
        <v>576200400.40591478</v>
      </c>
      <c r="G33" s="63">
        <f t="shared" si="11"/>
        <v>985618232.67733383</v>
      </c>
      <c r="H33" s="63">
        <f t="shared" si="11"/>
        <v>1070248579.7976303</v>
      </c>
      <c r="I33" s="63">
        <f t="shared" si="11"/>
        <v>871409566.4159255</v>
      </c>
      <c r="J33" s="63">
        <f t="shared" si="11"/>
        <v>1515325158.2850428</v>
      </c>
      <c r="K33" s="63">
        <f t="shared" si="11"/>
        <v>1607373378.2199459</v>
      </c>
      <c r="L33" s="63">
        <f t="shared" si="11"/>
        <v>1704661596.4746313</v>
      </c>
      <c r="M33" s="63">
        <f t="shared" si="11"/>
        <v>1759112326.8155375</v>
      </c>
      <c r="N33" s="63">
        <f t="shared" si="11"/>
        <v>-173974547.68852425</v>
      </c>
      <c r="O33" s="63">
        <f t="shared" si="11"/>
        <v>-173649547.68852425</v>
      </c>
      <c r="P33" s="63">
        <f t="shared" si="11"/>
        <v>-130480678.28827821</v>
      </c>
      <c r="Q33" s="63">
        <f t="shared" si="11"/>
        <v>-84505832.377016172</v>
      </c>
      <c r="R33" s="63">
        <f t="shared" si="11"/>
        <v>-35542621.481522106</v>
      </c>
      <c r="S33" s="63">
        <f t="shared" si="11"/>
        <v>16603198.122179076</v>
      </c>
      <c r="T33" s="63">
        <f t="shared" si="11"/>
        <v>72138496.000120848</v>
      </c>
      <c r="U33" s="63">
        <f t="shared" si="11"/>
        <v>131283588.24012882</v>
      </c>
      <c r="V33" s="63">
        <f t="shared" si="11"/>
        <v>194273111.4757373</v>
      </c>
      <c r="W33" s="63">
        <f t="shared" si="11"/>
        <v>261356953.72166035</v>
      </c>
      <c r="X33" s="17"/>
    </row>
    <row r="34" spans="1:24" ht="15" customHeight="1" x14ac:dyDescent="0.2">
      <c r="A34" s="22" t="s">
        <v>466</v>
      </c>
      <c r="B34" s="4" t="s">
        <v>88</v>
      </c>
      <c r="C34" s="79">
        <f>'Cash Flow'!C27+'Cash Flow'!C28</f>
        <v>0</v>
      </c>
      <c r="D34" s="79">
        <f>'Cash Flow'!D27+'Cash Flow'!D28</f>
        <v>-1340837711.6398947</v>
      </c>
      <c r="E34" s="79">
        <f>'Cash Flow'!E27+'Cash Flow'!E28</f>
        <v>-1935464289.2641702</v>
      </c>
      <c r="F34" s="79">
        <f>'Cash Flow'!F27+'Cash Flow'!F28</f>
        <v>-3094439156.7545681</v>
      </c>
      <c r="G34" s="79">
        <f>'Cash Flow'!G27+'Cash Flow'!G28</f>
        <v>-3639720106.6362572</v>
      </c>
      <c r="H34" s="79">
        <f>'Cash Flow'!H27+'Cash Flow'!H28</f>
        <v>-2962396301.829145</v>
      </c>
      <c r="I34" s="79">
        <f>'Cash Flow'!I27+'Cash Flow'!I28</f>
        <v>-3573544708.9795656</v>
      </c>
      <c r="J34" s="79">
        <f>'Cash Flow'!J27+'Cash Flow'!J28</f>
        <v>-4386305877.0808363</v>
      </c>
      <c r="K34" s="79">
        <f>'Cash Flow'!K27+'Cash Flow'!K28</f>
        <v>-4656588755.646801</v>
      </c>
      <c r="L34" s="79">
        <f>'Cash Flow'!L27+'Cash Flow'!L28</f>
        <v>-4990378309.1947422</v>
      </c>
      <c r="M34" s="79">
        <f>'Cash Flow'!M27+'Cash Flow'!M28</f>
        <v>-2942407436.5325928</v>
      </c>
      <c r="N34" s="79">
        <f>'Cash Flow'!N27+'Cash Flow'!N28</f>
        <v>0</v>
      </c>
      <c r="O34" s="79">
        <f>'Cash Flow'!O27+'Cash Flow'!O28</f>
        <v>0</v>
      </c>
      <c r="P34" s="79">
        <f>'Cash Flow'!P27+'Cash Flow'!P28</f>
        <v>0</v>
      </c>
      <c r="Q34" s="79">
        <f>'Cash Flow'!Q27+'Cash Flow'!Q28</f>
        <v>0</v>
      </c>
      <c r="R34" s="79">
        <f>'Cash Flow'!R27+'Cash Flow'!R28</f>
        <v>0</v>
      </c>
      <c r="S34" s="79">
        <f>'Cash Flow'!S27+'Cash Flow'!S28</f>
        <v>0</v>
      </c>
      <c r="T34" s="79">
        <f>'Cash Flow'!T27+'Cash Flow'!T28</f>
        <v>0</v>
      </c>
      <c r="U34" s="79">
        <f>'Cash Flow'!U27+'Cash Flow'!U28</f>
        <v>0</v>
      </c>
      <c r="V34" s="79">
        <f>'Cash Flow'!V27+'Cash Flow'!V28</f>
        <v>0</v>
      </c>
      <c r="W34" s="79">
        <f>'Cash Flow'!W27+'Cash Flow'!W28</f>
        <v>0</v>
      </c>
      <c r="X34" s="17"/>
    </row>
    <row r="35" spans="1:24" ht="15" customHeight="1" x14ac:dyDescent="0.2">
      <c r="A35" s="22" t="s">
        <v>467</v>
      </c>
      <c r="B35" s="4" t="s">
        <v>88</v>
      </c>
      <c r="C35" s="63">
        <f t="shared" ref="C35:W35" si="12">C33+C30+C34</f>
        <v>-248400000.00000003</v>
      </c>
      <c r="D35" s="63">
        <f t="shared" si="12"/>
        <v>-98914087.701533794</v>
      </c>
      <c r="E35" s="63">
        <f t="shared" si="12"/>
        <v>576200400.40591478</v>
      </c>
      <c r="F35" s="63">
        <f t="shared" si="12"/>
        <v>985618232.67733383</v>
      </c>
      <c r="G35" s="63">
        <f t="shared" si="12"/>
        <v>1070248579.7976303</v>
      </c>
      <c r="H35" s="63">
        <f t="shared" si="12"/>
        <v>871409566.4159255</v>
      </c>
      <c r="I35" s="63">
        <f t="shared" si="12"/>
        <v>1515325158.2850428</v>
      </c>
      <c r="J35" s="63">
        <f t="shared" si="12"/>
        <v>1607373378.2199459</v>
      </c>
      <c r="K35" s="63">
        <f t="shared" si="12"/>
        <v>1704661596.4746313</v>
      </c>
      <c r="L35" s="63">
        <f t="shared" si="12"/>
        <v>1759112326.8155375</v>
      </c>
      <c r="M35" s="63">
        <f t="shared" si="12"/>
        <v>-173974547.68852425</v>
      </c>
      <c r="N35" s="63">
        <f t="shared" si="12"/>
        <v>-173649547.68852425</v>
      </c>
      <c r="O35" s="63">
        <f t="shared" si="12"/>
        <v>-130480678.28827821</v>
      </c>
      <c r="P35" s="63">
        <f t="shared" si="12"/>
        <v>-84505832.377016172</v>
      </c>
      <c r="Q35" s="63">
        <f t="shared" si="12"/>
        <v>-35542621.481522106</v>
      </c>
      <c r="R35" s="63">
        <f t="shared" si="12"/>
        <v>16603198.122179076</v>
      </c>
      <c r="S35" s="63">
        <f t="shared" si="12"/>
        <v>72138496.000120848</v>
      </c>
      <c r="T35" s="63">
        <f t="shared" si="12"/>
        <v>131283588.24012882</v>
      </c>
      <c r="U35" s="63">
        <f t="shared" si="12"/>
        <v>194273111.4757373</v>
      </c>
      <c r="V35" s="63">
        <f t="shared" si="12"/>
        <v>261356953.72166035</v>
      </c>
      <c r="W35" s="63">
        <f t="shared" si="12"/>
        <v>332801245.71356839</v>
      </c>
      <c r="X35" s="17"/>
    </row>
    <row r="36" spans="1:24" ht="1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1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1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1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</sheetData>
  <conditionalFormatting sqref="C30:W30">
    <cfRule type="cellIs" dxfId="6" priority="2" operator="lessThan">
      <formula>0</formula>
    </cfRule>
  </conditionalFormatting>
  <pageMargins left="0.75" right="0.75" top="1" bottom="1" header="0.511811023622047" footer="0.511811023622047"/>
  <pageSetup paperSize="8" fitToHeight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X3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38" customWidth="1"/>
    <col min="2" max="2" width="10" customWidth="1"/>
    <col min="3" max="24" width="16" customWidth="1"/>
  </cols>
  <sheetData>
    <row r="1" spans="1:24" ht="17.25" customHeight="1" x14ac:dyDescent="0.2">
      <c r="A1" s="28" t="s">
        <v>39</v>
      </c>
    </row>
    <row r="2" spans="1:24" ht="15" customHeight="1" x14ac:dyDescent="0.2">
      <c r="A2" s="4" t="s">
        <v>468</v>
      </c>
    </row>
    <row r="3" spans="1:24" ht="1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4" ht="15" customHeight="1" x14ac:dyDescent="0.2">
      <c r="C4" s="103" t="s">
        <v>304</v>
      </c>
      <c r="D4" s="103" t="s">
        <v>305</v>
      </c>
      <c r="E4" s="103" t="s">
        <v>306</v>
      </c>
      <c r="F4" s="103" t="s">
        <v>307</v>
      </c>
      <c r="G4" s="103" t="s">
        <v>308</v>
      </c>
      <c r="H4" s="103" t="s">
        <v>309</v>
      </c>
      <c r="I4" s="103" t="s">
        <v>310</v>
      </c>
      <c r="J4" s="103" t="s">
        <v>311</v>
      </c>
      <c r="K4" s="103" t="s">
        <v>312</v>
      </c>
      <c r="L4" s="103" t="s">
        <v>313</v>
      </c>
      <c r="M4" s="103" t="s">
        <v>314</v>
      </c>
      <c r="N4" s="103" t="s">
        <v>315</v>
      </c>
      <c r="O4" s="103" t="s">
        <v>316</v>
      </c>
      <c r="P4" s="103" t="s">
        <v>317</v>
      </c>
      <c r="Q4" s="103" t="s">
        <v>318</v>
      </c>
      <c r="R4" s="103" t="s">
        <v>319</v>
      </c>
      <c r="S4" s="103" t="s">
        <v>320</v>
      </c>
      <c r="T4" s="103" t="s">
        <v>321</v>
      </c>
      <c r="U4" s="103" t="s">
        <v>322</v>
      </c>
      <c r="V4" s="103" t="s">
        <v>323</v>
      </c>
      <c r="W4" s="103" t="s">
        <v>324</v>
      </c>
      <c r="X4" s="103" t="s">
        <v>124</v>
      </c>
    </row>
    <row r="6" spans="1:24" ht="15" customHeight="1" x14ac:dyDescent="0.2">
      <c r="A6" s="27" t="s">
        <v>469</v>
      </c>
      <c r="B6" s="104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15" customHeight="1" x14ac:dyDescent="0.2">
      <c r="A7" s="22" t="s">
        <v>470</v>
      </c>
      <c r="B7" s="4" t="s">
        <v>88</v>
      </c>
      <c r="C7" s="79">
        <f>'Income Statement'!C5</f>
        <v>0</v>
      </c>
      <c r="D7" s="79">
        <f>'Income Statement'!D5</f>
        <v>3836401255.0838327</v>
      </c>
      <c r="E7" s="79">
        <f>'Income Statement'!E5</f>
        <v>7973107630.085618</v>
      </c>
      <c r="F7" s="79">
        <f>'Income Statement'!F5</f>
        <v>10470683595.209936</v>
      </c>
      <c r="G7" s="79">
        <f>'Income Statement'!G5</f>
        <v>11000500185.12756</v>
      </c>
      <c r="H7" s="79">
        <f>'Income Statement'!H5</f>
        <v>8157970937.2905998</v>
      </c>
      <c r="I7" s="79">
        <f>'Income Statement'!I5</f>
        <v>12141916044.516464</v>
      </c>
      <c r="J7" s="79">
        <f>'Income Statement'!J5</f>
        <v>12756296996.368998</v>
      </c>
      <c r="K7" s="79">
        <f>'Income Statement'!K5</f>
        <v>13401765624.385267</v>
      </c>
      <c r="L7" s="79">
        <f>'Income Statement'!L5</f>
        <v>14079894964.979162</v>
      </c>
      <c r="M7" s="79">
        <f>'Income Statement'!M5</f>
        <v>3045481280.9249921</v>
      </c>
      <c r="N7" s="79">
        <f>'Income Statement'!N5</f>
        <v>0</v>
      </c>
      <c r="O7" s="79">
        <f>'Income Statement'!O5</f>
        <v>0</v>
      </c>
      <c r="P7" s="79">
        <f>'Income Statement'!P5</f>
        <v>0</v>
      </c>
      <c r="Q7" s="79">
        <f>'Income Statement'!Q5</f>
        <v>0</v>
      </c>
      <c r="R7" s="79">
        <f>'Income Statement'!R5</f>
        <v>0</v>
      </c>
      <c r="S7" s="79">
        <f>'Income Statement'!S5</f>
        <v>0</v>
      </c>
      <c r="T7" s="79">
        <f>'Income Statement'!T5</f>
        <v>0</v>
      </c>
      <c r="U7" s="79">
        <f>'Income Statement'!U5</f>
        <v>0</v>
      </c>
      <c r="V7" s="79">
        <f>'Income Statement'!V5</f>
        <v>0</v>
      </c>
      <c r="W7" s="79">
        <f>'Income Statement'!W5</f>
        <v>0</v>
      </c>
      <c r="X7" s="65">
        <f t="shared" ref="X7:X15" si="0">SUM(C7:W7)</f>
        <v>96864018513.972412</v>
      </c>
    </row>
    <row r="8" spans="1:24" ht="15" customHeight="1" x14ac:dyDescent="0.2">
      <c r="A8" s="22" t="s">
        <v>471</v>
      </c>
      <c r="B8" s="4" t="s">
        <v>88</v>
      </c>
      <c r="C8" s="79">
        <f>'Income Statement'!C7+'Income Statement'!C8+'Income Statement'!C9</f>
        <v>0</v>
      </c>
      <c r="D8" s="79">
        <f>'Income Statement'!D7+'Income Statement'!D8+'Income Statement'!D9</f>
        <v>-1729163300</v>
      </c>
      <c r="E8" s="79">
        <f>'Income Statement'!E7+'Income Statement'!E8+'Income Statement'!E9</f>
        <v>-3535409822.5664001</v>
      </c>
      <c r="F8" s="79">
        <f>'Income Statement'!F7+'Income Statement'!F8+'Income Statement'!F9</f>
        <v>-4586179074.6024704</v>
      </c>
      <c r="G8" s="79">
        <f>'Income Statement'!G7+'Income Statement'!G8+'Income Statement'!G9</f>
        <v>-4764551588.4570456</v>
      </c>
      <c r="H8" s="79">
        <f>'Income Statement'!H7+'Income Statement'!H8+'Income Statement'!H9</f>
        <v>-3500710065.1727853</v>
      </c>
      <c r="I8" s="79">
        <f>'Income Statement'!I7+'Income Statement'!I8+'Income Statement'!I9</f>
        <v>-5142407425.4563522</v>
      </c>
      <c r="J8" s="79">
        <f>'Income Statement'!J7+'Income Statement'!J8+'Income Statement'!J9</f>
        <v>-5342443500.4444714</v>
      </c>
      <c r="K8" s="79">
        <f>'Income Statement'!K7+'Income Statement'!K8+'Income Statement'!K9</f>
        <v>-5550271615.154954</v>
      </c>
      <c r="L8" s="79">
        <f>'Income Statement'!L7+'Income Statement'!L8+'Income Statement'!L9</f>
        <v>-5766195939.1297979</v>
      </c>
      <c r="M8" s="79">
        <f>'Income Statement'!M7+'Income Statement'!M8+'Income Statement'!M9</f>
        <v>-1257494548.5890653</v>
      </c>
      <c r="N8" s="79">
        <f>'Income Statement'!N7+'Income Statement'!N8+'Income Statement'!N9</f>
        <v>0</v>
      </c>
      <c r="O8" s="79">
        <f>'Income Statement'!O7+'Income Statement'!O8+'Income Statement'!O9</f>
        <v>0</v>
      </c>
      <c r="P8" s="79">
        <f>'Income Statement'!P7+'Income Statement'!P8+'Income Statement'!P9</f>
        <v>0</v>
      </c>
      <c r="Q8" s="79">
        <f>'Income Statement'!Q7+'Income Statement'!Q8+'Income Statement'!Q9</f>
        <v>0</v>
      </c>
      <c r="R8" s="79">
        <f>'Income Statement'!R7+'Income Statement'!R8+'Income Statement'!R9</f>
        <v>0</v>
      </c>
      <c r="S8" s="79">
        <f>'Income Statement'!S7+'Income Statement'!S8+'Income Statement'!S9</f>
        <v>0</v>
      </c>
      <c r="T8" s="79">
        <f>'Income Statement'!T7+'Income Statement'!T8+'Income Statement'!T9</f>
        <v>0</v>
      </c>
      <c r="U8" s="79">
        <f>'Income Statement'!U7+'Income Statement'!U8+'Income Statement'!U9</f>
        <v>0</v>
      </c>
      <c r="V8" s="79">
        <f>'Income Statement'!V7+'Income Statement'!V8+'Income Statement'!V9</f>
        <v>0</v>
      </c>
      <c r="W8" s="79">
        <f>'Income Statement'!W7+'Income Statement'!W8+'Income Statement'!W9</f>
        <v>0</v>
      </c>
      <c r="X8" s="65">
        <f t="shared" si="0"/>
        <v>-41174826879.573341</v>
      </c>
    </row>
    <row r="9" spans="1:24" ht="15" customHeight="1" x14ac:dyDescent="0.2">
      <c r="A9" s="22" t="s">
        <v>472</v>
      </c>
      <c r="B9" s="4" t="s">
        <v>88</v>
      </c>
      <c r="C9" s="79">
        <f>'Income Statement'!C11</f>
        <v>0</v>
      </c>
      <c r="D9" s="79">
        <f>'Income Statement'!D11</f>
        <v>-186801042.68212578</v>
      </c>
      <c r="E9" s="79">
        <f>'Income Statement'!E11</f>
        <v>-393921362.75196552</v>
      </c>
      <c r="F9" s="79">
        <f>'Income Statement'!F11</f>
        <v>-522153779.6246469</v>
      </c>
      <c r="G9" s="79">
        <f>'Income Statement'!G11</f>
        <v>-550025009.25637805</v>
      </c>
      <c r="H9" s="79">
        <f>'Income Statement'!H11</f>
        <v>-407898546.86453003</v>
      </c>
      <c r="I9" s="79">
        <f>'Income Statement'!I11</f>
        <v>-607095802.22582328</v>
      </c>
      <c r="J9" s="79">
        <f>'Income Statement'!J11</f>
        <v>-637814849.81844985</v>
      </c>
      <c r="K9" s="79">
        <f>'Income Statement'!K11</f>
        <v>-670088281.21926343</v>
      </c>
      <c r="L9" s="79">
        <f>'Income Statement'!L11</f>
        <v>-703994748.24895811</v>
      </c>
      <c r="M9" s="79">
        <f>'Income Statement'!M11</f>
        <v>-152274064.0462496</v>
      </c>
      <c r="N9" s="79">
        <f>'Income Statement'!N11</f>
        <v>0</v>
      </c>
      <c r="O9" s="79">
        <f>'Income Statement'!O11</f>
        <v>0</v>
      </c>
      <c r="P9" s="79">
        <f>'Income Statement'!P11</f>
        <v>0</v>
      </c>
      <c r="Q9" s="79">
        <f>'Income Statement'!Q11</f>
        <v>0</v>
      </c>
      <c r="R9" s="79">
        <f>'Income Statement'!R11</f>
        <v>0</v>
      </c>
      <c r="S9" s="79">
        <f>'Income Statement'!S11</f>
        <v>0</v>
      </c>
      <c r="T9" s="79">
        <f>'Income Statement'!T11</f>
        <v>0</v>
      </c>
      <c r="U9" s="79">
        <f>'Income Statement'!U11</f>
        <v>0</v>
      </c>
      <c r="V9" s="79">
        <f>'Income Statement'!V11</f>
        <v>0</v>
      </c>
      <c r="W9" s="79">
        <f>'Income Statement'!W11</f>
        <v>0</v>
      </c>
      <c r="X9" s="65">
        <f t="shared" si="0"/>
        <v>-4832067486.7383909</v>
      </c>
    </row>
    <row r="10" spans="1:24" ht="15" customHeight="1" x14ac:dyDescent="0.2">
      <c r="A10" s="22" t="s">
        <v>473</v>
      </c>
      <c r="B10" s="4" t="s">
        <v>88</v>
      </c>
      <c r="C10" s="79">
        <f>'Income Statement'!C13</f>
        <v>0</v>
      </c>
      <c r="D10" s="79">
        <f>'Income Statement'!D13</f>
        <v>-3657500.0000000005</v>
      </c>
      <c r="E10" s="79">
        <f>'Income Statement'!E13</f>
        <v>-7235200.0000000009</v>
      </c>
      <c r="F10" s="79">
        <f>'Income Statement'!F13</f>
        <v>-9044000.0000000019</v>
      </c>
      <c r="G10" s="79">
        <f>'Income Statement'!G13</f>
        <v>-9044000.0000000019</v>
      </c>
      <c r="H10" s="79">
        <f>'Income Statement'!H13</f>
        <v>-6384000.0000000009</v>
      </c>
      <c r="I10" s="79">
        <f>'Income Statement'!I13</f>
        <v>-9044000.0000000019</v>
      </c>
      <c r="J10" s="79">
        <f>'Income Statement'!J13</f>
        <v>-9044000.0000000019</v>
      </c>
      <c r="K10" s="79">
        <f>'Income Statement'!K13</f>
        <v>-9044000.0000000019</v>
      </c>
      <c r="L10" s="79">
        <f>'Income Statement'!L13</f>
        <v>-9044000.0000000019</v>
      </c>
      <c r="M10" s="79">
        <f>'Income Statement'!M13</f>
        <v>-1862000.0000000002</v>
      </c>
      <c r="N10" s="79">
        <f>'Income Statement'!N13</f>
        <v>0</v>
      </c>
      <c r="O10" s="79">
        <f>'Income Statement'!O13</f>
        <v>0</v>
      </c>
      <c r="P10" s="79">
        <f>'Income Statement'!P13</f>
        <v>0</v>
      </c>
      <c r="Q10" s="79">
        <f>'Income Statement'!Q13</f>
        <v>0</v>
      </c>
      <c r="R10" s="79">
        <f>'Income Statement'!R13</f>
        <v>0</v>
      </c>
      <c r="S10" s="79">
        <f>'Income Statement'!S13</f>
        <v>0</v>
      </c>
      <c r="T10" s="79">
        <f>'Income Statement'!T13</f>
        <v>0</v>
      </c>
      <c r="U10" s="79">
        <f>'Income Statement'!U13</f>
        <v>0</v>
      </c>
      <c r="V10" s="79">
        <f>'Income Statement'!V13</f>
        <v>0</v>
      </c>
      <c r="W10" s="79">
        <f>'Income Statement'!W13</f>
        <v>0</v>
      </c>
      <c r="X10" s="65">
        <f t="shared" si="0"/>
        <v>-73402700.000000015</v>
      </c>
    </row>
    <row r="11" spans="1:24" ht="15" customHeight="1" x14ac:dyDescent="0.2">
      <c r="A11" s="22" t="s">
        <v>474</v>
      </c>
      <c r="B11" s="4" t="s">
        <v>88</v>
      </c>
      <c r="C11" s="79">
        <f>'Income Statement'!C14+'Income Statement'!C15+'Income Statement'!C10</f>
        <v>0</v>
      </c>
      <c r="D11" s="79">
        <f>'Income Statement'!D14+'Income Statement'!D15+'Income Statement'!D10</f>
        <v>-58364012.550838329</v>
      </c>
      <c r="E11" s="79">
        <f>'Income Statement'!E14+'Income Statement'!E15+'Income Statement'!E10</f>
        <v>-99731076.300856188</v>
      </c>
      <c r="F11" s="79">
        <f>'Income Statement'!F14+'Income Statement'!F15+'Income Statement'!F10</f>
        <v>-124706835.95209937</v>
      </c>
      <c r="G11" s="79">
        <f>'Income Statement'!G14+'Income Statement'!G15+'Income Statement'!G10</f>
        <v>-130005001.85127559</v>
      </c>
      <c r="H11" s="79">
        <f>'Income Statement'!H14+'Income Statement'!H15+'Income Statement'!H10</f>
        <v>-101579709.372906</v>
      </c>
      <c r="I11" s="79">
        <f>'Income Statement'!I14+'Income Statement'!I15+'Income Statement'!I10</f>
        <v>-141419160.44516465</v>
      </c>
      <c r="J11" s="79">
        <f>'Income Statement'!J14+'Income Statement'!J15+'Income Statement'!J10</f>
        <v>-147562969.96368998</v>
      </c>
      <c r="K11" s="79">
        <f>'Income Statement'!K14+'Income Statement'!K15+'Income Statement'!K10</f>
        <v>-154017656.24385267</v>
      </c>
      <c r="L11" s="79">
        <f>'Income Statement'!L14+'Income Statement'!L15+'Income Statement'!L10</f>
        <v>-160798949.64979163</v>
      </c>
      <c r="M11" s="79">
        <f>'Income Statement'!M14+'Income Statement'!M15+'Income Statement'!M10</f>
        <v>-50454812.809249923</v>
      </c>
      <c r="N11" s="79">
        <f>'Income Statement'!N14+'Income Statement'!N15+'Income Statement'!N10</f>
        <v>0</v>
      </c>
      <c r="O11" s="79">
        <f>'Income Statement'!O14+'Income Statement'!O15+'Income Statement'!O10</f>
        <v>0</v>
      </c>
      <c r="P11" s="79">
        <f>'Income Statement'!P14+'Income Statement'!P15+'Income Statement'!P10</f>
        <v>0</v>
      </c>
      <c r="Q11" s="79">
        <f>'Income Statement'!Q14+'Income Statement'!Q15+'Income Statement'!Q10</f>
        <v>0</v>
      </c>
      <c r="R11" s="79">
        <f>'Income Statement'!R14+'Income Statement'!R15+'Income Statement'!R10</f>
        <v>0</v>
      </c>
      <c r="S11" s="79">
        <f>'Income Statement'!S14+'Income Statement'!S15+'Income Statement'!S10</f>
        <v>0</v>
      </c>
      <c r="T11" s="79">
        <f>'Income Statement'!T14+'Income Statement'!T15+'Income Statement'!T10</f>
        <v>0</v>
      </c>
      <c r="U11" s="79">
        <f>'Income Statement'!U14+'Income Statement'!U15+'Income Statement'!U10</f>
        <v>0</v>
      </c>
      <c r="V11" s="79">
        <f>'Income Statement'!V14+'Income Statement'!V15+'Income Statement'!V10</f>
        <v>0</v>
      </c>
      <c r="W11" s="79">
        <f>'Income Statement'!W14+'Income Statement'!W15+'Income Statement'!W10</f>
        <v>0</v>
      </c>
      <c r="X11" s="65">
        <f t="shared" si="0"/>
        <v>-1168640185.1397243</v>
      </c>
    </row>
    <row r="12" spans="1:24" ht="15" customHeight="1" x14ac:dyDescent="0.2">
      <c r="A12" s="22" t="s">
        <v>475</v>
      </c>
      <c r="B12" s="4" t="s">
        <v>88</v>
      </c>
      <c r="C12" s="79">
        <f>'Income Statement'!C19</f>
        <v>0</v>
      </c>
      <c r="D12" s="79">
        <f>'Income Statement'!D19</f>
        <v>-92000000</v>
      </c>
      <c r="E12" s="79">
        <f>'Income Statement'!E19</f>
        <v>-92000000</v>
      </c>
      <c r="F12" s="79">
        <f>'Income Statement'!F19</f>
        <v>-92000000</v>
      </c>
      <c r="G12" s="79">
        <f>'Income Statement'!G19</f>
        <v>-92900000</v>
      </c>
      <c r="H12" s="79">
        <f>'Income Statement'!H19</f>
        <v>-93800000</v>
      </c>
      <c r="I12" s="79">
        <f>'Income Statement'!I19</f>
        <v>-103700000</v>
      </c>
      <c r="J12" s="79">
        <f>'Income Statement'!J19</f>
        <v>-104600000</v>
      </c>
      <c r="K12" s="79">
        <f>'Income Statement'!K19</f>
        <v>-105500000</v>
      </c>
      <c r="L12" s="79">
        <f>'Income Statement'!L19</f>
        <v>-106400000</v>
      </c>
      <c r="M12" s="79">
        <f>'Income Statement'!M19</f>
        <v>-107300000</v>
      </c>
      <c r="N12" s="79">
        <f>'Income Statement'!N19</f>
        <v>0</v>
      </c>
      <c r="O12" s="79">
        <f>'Income Statement'!O19</f>
        <v>0</v>
      </c>
      <c r="P12" s="79">
        <f>'Income Statement'!P19</f>
        <v>0</v>
      </c>
      <c r="Q12" s="79">
        <f>'Income Statement'!Q19</f>
        <v>0</v>
      </c>
      <c r="R12" s="79">
        <f>'Income Statement'!R19</f>
        <v>0</v>
      </c>
      <c r="S12" s="79">
        <f>'Income Statement'!S19</f>
        <v>0</v>
      </c>
      <c r="T12" s="79">
        <f>'Income Statement'!T19</f>
        <v>0</v>
      </c>
      <c r="U12" s="79">
        <f>'Income Statement'!U19</f>
        <v>0</v>
      </c>
      <c r="V12" s="79">
        <f>'Income Statement'!V19</f>
        <v>0</v>
      </c>
      <c r="W12" s="79">
        <f>'Income Statement'!W19</f>
        <v>0</v>
      </c>
      <c r="X12" s="65">
        <f t="shared" si="0"/>
        <v>-990200000</v>
      </c>
    </row>
    <row r="13" spans="1:24" ht="15" customHeight="1" x14ac:dyDescent="0.2">
      <c r="A13" s="22" t="s">
        <v>476</v>
      </c>
      <c r="B13" s="4" t="s">
        <v>88</v>
      </c>
      <c r="C13" s="79">
        <f>'Income Statement'!C23</f>
        <v>0</v>
      </c>
      <c r="D13" s="79">
        <f>'Income Statement'!D23</f>
        <v>-60636250</v>
      </c>
      <c r="E13" s="79">
        <f>'Income Statement'!E23</f>
        <v>-60636250</v>
      </c>
      <c r="F13" s="79">
        <f>'Income Statement'!F23</f>
        <v>-56038928.571428575</v>
      </c>
      <c r="G13" s="79">
        <f>'Income Statement'!G23</f>
        <v>-51441607.142857149</v>
      </c>
      <c r="H13" s="79">
        <f>'Income Statement'!H23</f>
        <v>-46844285.714285716</v>
      </c>
      <c r="I13" s="79">
        <f>'Income Statement'!I23</f>
        <v>-13791964.285714289</v>
      </c>
      <c r="J13" s="79">
        <f>'Income Statement'!J23</f>
        <v>-9194642.8571428619</v>
      </c>
      <c r="K13" s="79">
        <f>'Income Statement'!K23</f>
        <v>-4597321.4285714328</v>
      </c>
      <c r="L13" s="79">
        <f>'Income Statement'!L23</f>
        <v>-4.2468309402465825E-9</v>
      </c>
      <c r="M13" s="79">
        <f>'Income Statement'!M23</f>
        <v>-4.2468309402465825E-9</v>
      </c>
      <c r="N13" s="79">
        <f>'Income Statement'!N23</f>
        <v>-4.2468309402465825E-9</v>
      </c>
      <c r="O13" s="79">
        <f>'Income Statement'!O23</f>
        <v>-4.2468309402465825E-9</v>
      </c>
      <c r="P13" s="79">
        <f>'Income Statement'!P23</f>
        <v>-4.2468309402465825E-9</v>
      </c>
      <c r="Q13" s="79">
        <f>'Income Statement'!Q23</f>
        <v>-4.2468309402465825E-9</v>
      </c>
      <c r="R13" s="79">
        <f>'Income Statement'!R23</f>
        <v>-4.2468309402465825E-9</v>
      </c>
      <c r="S13" s="79">
        <f>'Income Statement'!S23</f>
        <v>-4.2468309402465825E-9</v>
      </c>
      <c r="T13" s="79">
        <f>'Income Statement'!T23</f>
        <v>-4.2468309402465825E-9</v>
      </c>
      <c r="U13" s="79">
        <f>'Income Statement'!U23</f>
        <v>-4.2468309402465825E-9</v>
      </c>
      <c r="V13" s="79">
        <f>'Income Statement'!V23</f>
        <v>-4.2468309402465825E-9</v>
      </c>
      <c r="W13" s="79">
        <f>'Income Statement'!W23</f>
        <v>-4.2468309402465825E-9</v>
      </c>
      <c r="X13" s="65">
        <f t="shared" si="0"/>
        <v>-303181250</v>
      </c>
    </row>
    <row r="14" spans="1:24" ht="15" customHeight="1" x14ac:dyDescent="0.2">
      <c r="A14" s="22" t="s">
        <v>477</v>
      </c>
      <c r="B14" s="4" t="s">
        <v>88</v>
      </c>
      <c r="C14" s="79">
        <f>'Income Statement'!C24</f>
        <v>0</v>
      </c>
      <c r="D14" s="79">
        <f>'Income Statement'!D24</f>
        <v>28275000</v>
      </c>
      <c r="E14" s="79">
        <f>'Income Statement'!E24</f>
        <v>325000</v>
      </c>
      <c r="F14" s="79">
        <f>'Income Statement'!F24</f>
        <v>325000</v>
      </c>
      <c r="G14" s="79">
        <f>'Income Statement'!G24</f>
        <v>325000</v>
      </c>
      <c r="H14" s="79">
        <f>'Income Statement'!H24</f>
        <v>325000</v>
      </c>
      <c r="I14" s="79">
        <f>'Income Statement'!I24</f>
        <v>325000</v>
      </c>
      <c r="J14" s="79">
        <f>'Income Statement'!J24</f>
        <v>325000</v>
      </c>
      <c r="K14" s="79">
        <f>'Income Statement'!K24</f>
        <v>325000</v>
      </c>
      <c r="L14" s="79">
        <f>'Income Statement'!L24</f>
        <v>325000</v>
      </c>
      <c r="M14" s="79">
        <f>'Income Statement'!M24</f>
        <v>325000</v>
      </c>
      <c r="N14" s="79">
        <f>'Income Statement'!N24</f>
        <v>325000</v>
      </c>
      <c r="O14" s="79">
        <f>'Income Statement'!O24</f>
        <v>43168869.400246046</v>
      </c>
      <c r="P14" s="79">
        <f>'Income Statement'!P24</f>
        <v>45974845.911262043</v>
      </c>
      <c r="Q14" s="79">
        <f>'Income Statement'!Q24</f>
        <v>48963210.895494074</v>
      </c>
      <c r="R14" s="79">
        <f>'Income Statement'!R24</f>
        <v>52145819.603701189</v>
      </c>
      <c r="S14" s="79">
        <f>'Income Statement'!S24</f>
        <v>55535297.877941772</v>
      </c>
      <c r="T14" s="79">
        <f>'Income Statement'!T24</f>
        <v>59145092.240007982</v>
      </c>
      <c r="U14" s="79">
        <f>'Income Statement'!U24</f>
        <v>62989523.235608503</v>
      </c>
      <c r="V14" s="79">
        <f>'Income Statement'!V24</f>
        <v>67083842.24592305</v>
      </c>
      <c r="W14" s="79">
        <f>'Income Statement'!W24</f>
        <v>71444291.991908044</v>
      </c>
      <c r="X14" s="65">
        <f t="shared" si="0"/>
        <v>537975793.4020927</v>
      </c>
    </row>
    <row r="15" spans="1:24" ht="15" customHeight="1" x14ac:dyDescent="0.2">
      <c r="A15" s="97" t="s">
        <v>478</v>
      </c>
      <c r="B15" s="70" t="s">
        <v>88</v>
      </c>
      <c r="C15" s="101">
        <f t="shared" ref="C15:W15" si="1">SUM(C7:C14)</f>
        <v>0</v>
      </c>
      <c r="D15" s="101">
        <f t="shared" si="1"/>
        <v>1734054149.8508687</v>
      </c>
      <c r="E15" s="101">
        <f t="shared" si="1"/>
        <v>3784498918.4663968</v>
      </c>
      <c r="F15" s="101">
        <f t="shared" si="1"/>
        <v>5080885976.4592905</v>
      </c>
      <c r="G15" s="101">
        <f t="shared" si="1"/>
        <v>5402857978.4200029</v>
      </c>
      <c r="H15" s="101">
        <f t="shared" si="1"/>
        <v>4001079330.1660929</v>
      </c>
      <c r="I15" s="101">
        <f t="shared" si="1"/>
        <v>6124782692.1034098</v>
      </c>
      <c r="J15" s="101">
        <f t="shared" si="1"/>
        <v>6505962033.285244</v>
      </c>
      <c r="K15" s="101">
        <f t="shared" si="1"/>
        <v>6908571750.3386259</v>
      </c>
      <c r="L15" s="101">
        <f t="shared" si="1"/>
        <v>7333786327.9506149</v>
      </c>
      <c r="M15" s="101">
        <f t="shared" si="1"/>
        <v>1476420855.4804273</v>
      </c>
      <c r="N15" s="101">
        <f t="shared" si="1"/>
        <v>324999.99999999575</v>
      </c>
      <c r="O15" s="101">
        <f t="shared" si="1"/>
        <v>43168869.400246039</v>
      </c>
      <c r="P15" s="101">
        <f t="shared" si="1"/>
        <v>45974845.911262035</v>
      </c>
      <c r="Q15" s="101">
        <f t="shared" si="1"/>
        <v>48963210.895494066</v>
      </c>
      <c r="R15" s="101">
        <f t="shared" si="1"/>
        <v>52145819.603701182</v>
      </c>
      <c r="S15" s="101">
        <f t="shared" si="1"/>
        <v>55535297.877941765</v>
      </c>
      <c r="T15" s="101">
        <f t="shared" si="1"/>
        <v>59145092.240007974</v>
      </c>
      <c r="U15" s="101">
        <f t="shared" si="1"/>
        <v>62989523.235608496</v>
      </c>
      <c r="V15" s="101">
        <f t="shared" si="1"/>
        <v>67083842.245923042</v>
      </c>
      <c r="W15" s="101">
        <f t="shared" si="1"/>
        <v>71444291.991908044</v>
      </c>
      <c r="X15" s="101">
        <f t="shared" si="0"/>
        <v>48859675805.923065</v>
      </c>
    </row>
    <row r="17" spans="1:24" ht="15" customHeight="1" x14ac:dyDescent="0.2">
      <c r="A17" s="27" t="s">
        <v>479</v>
      </c>
      <c r="B17" s="10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5" customHeight="1" x14ac:dyDescent="0.2">
      <c r="A18" s="22" t="s">
        <v>480</v>
      </c>
      <c r="B18" s="4" t="s">
        <v>88</v>
      </c>
      <c r="C18" s="63">
        <f t="shared" ref="C18:W18" si="2">-C12</f>
        <v>0</v>
      </c>
      <c r="D18" s="63">
        <f t="shared" si="2"/>
        <v>92000000</v>
      </c>
      <c r="E18" s="63">
        <f t="shared" si="2"/>
        <v>92000000</v>
      </c>
      <c r="F18" s="63">
        <f t="shared" si="2"/>
        <v>92000000</v>
      </c>
      <c r="G18" s="63">
        <f t="shared" si="2"/>
        <v>92900000</v>
      </c>
      <c r="H18" s="63">
        <f t="shared" si="2"/>
        <v>93800000</v>
      </c>
      <c r="I18" s="63">
        <f t="shared" si="2"/>
        <v>103700000</v>
      </c>
      <c r="J18" s="63">
        <f t="shared" si="2"/>
        <v>104600000</v>
      </c>
      <c r="K18" s="63">
        <f t="shared" si="2"/>
        <v>105500000</v>
      </c>
      <c r="L18" s="63">
        <f t="shared" si="2"/>
        <v>106400000</v>
      </c>
      <c r="M18" s="63">
        <f t="shared" si="2"/>
        <v>107300000</v>
      </c>
      <c r="N18" s="63">
        <f t="shared" si="2"/>
        <v>0</v>
      </c>
      <c r="O18" s="63">
        <f t="shared" si="2"/>
        <v>0</v>
      </c>
      <c r="P18" s="63">
        <f t="shared" si="2"/>
        <v>0</v>
      </c>
      <c r="Q18" s="63">
        <f t="shared" si="2"/>
        <v>0</v>
      </c>
      <c r="R18" s="63">
        <f t="shared" si="2"/>
        <v>0</v>
      </c>
      <c r="S18" s="63">
        <f t="shared" si="2"/>
        <v>0</v>
      </c>
      <c r="T18" s="63">
        <f t="shared" si="2"/>
        <v>0</v>
      </c>
      <c r="U18" s="63">
        <f t="shared" si="2"/>
        <v>0</v>
      </c>
      <c r="V18" s="63">
        <f t="shared" si="2"/>
        <v>0</v>
      </c>
      <c r="W18" s="63">
        <f t="shared" si="2"/>
        <v>0</v>
      </c>
      <c r="X18" s="65">
        <f>SUM(C18:W18)</f>
        <v>990200000</v>
      </c>
    </row>
    <row r="19" spans="1:24" ht="15" customHeight="1" x14ac:dyDescent="0.2">
      <c r="A19" s="22" t="s">
        <v>481</v>
      </c>
      <c r="B19" s="4" t="s">
        <v>88</v>
      </c>
      <c r="C19" s="63">
        <f>-'Fixed Assets'!C8*Assumptions!B85</f>
        <v>-865000000</v>
      </c>
      <c r="D19" s="63">
        <f>-'Fixed Assets'!D8*Assumptions!B85</f>
        <v>0</v>
      </c>
      <c r="E19" s="63">
        <f>-'Fixed Assets'!E8*Assumptions!B85</f>
        <v>0</v>
      </c>
      <c r="F19" s="63">
        <f>-'Fixed Assets'!F8*Assumptions!B85</f>
        <v>-9000000</v>
      </c>
      <c r="G19" s="63">
        <f>-'Fixed Assets'!G8*Assumptions!B85</f>
        <v>-9000000</v>
      </c>
      <c r="H19" s="63">
        <f>-'Fixed Assets'!H8*Assumptions!B85</f>
        <v>-99000000</v>
      </c>
      <c r="I19" s="63">
        <f>-'Fixed Assets'!I8*Assumptions!B85</f>
        <v>-9000000</v>
      </c>
      <c r="J19" s="63">
        <f>-'Fixed Assets'!J8*Assumptions!B85</f>
        <v>-9000000</v>
      </c>
      <c r="K19" s="63">
        <f>-'Fixed Assets'!K8*Assumptions!B85</f>
        <v>-9000000</v>
      </c>
      <c r="L19" s="63">
        <f>-'Fixed Assets'!L8*Assumptions!B85</f>
        <v>-9000000</v>
      </c>
      <c r="M19" s="63">
        <f>-'Fixed Assets'!M8*Assumptions!B85</f>
        <v>-9000000</v>
      </c>
      <c r="N19" s="63">
        <f>-'Fixed Assets'!N8*Assumptions!B85</f>
        <v>0</v>
      </c>
      <c r="O19" s="63">
        <f>-'Fixed Assets'!O8*Assumptions!B85</f>
        <v>0</v>
      </c>
      <c r="P19" s="63">
        <f>-'Fixed Assets'!P8*Assumptions!B85</f>
        <v>0</v>
      </c>
      <c r="Q19" s="63">
        <f>-'Fixed Assets'!Q8*Assumptions!B85</f>
        <v>0</v>
      </c>
      <c r="R19" s="63">
        <f>-'Fixed Assets'!R8*Assumptions!B85</f>
        <v>0</v>
      </c>
      <c r="S19" s="63">
        <f>-'Fixed Assets'!S8*Assumptions!B85</f>
        <v>0</v>
      </c>
      <c r="T19" s="63">
        <f>-'Fixed Assets'!T8*Assumptions!B85</f>
        <v>0</v>
      </c>
      <c r="U19" s="63">
        <f>-'Fixed Assets'!U8*Assumptions!B85</f>
        <v>0</v>
      </c>
      <c r="V19" s="63">
        <f>-'Fixed Assets'!V8*Assumptions!B85</f>
        <v>0</v>
      </c>
      <c r="W19" s="63">
        <f>-'Fixed Assets'!W8*Assumptions!B85</f>
        <v>0</v>
      </c>
      <c r="X19" s="65">
        <f>SUM(C19:W19)</f>
        <v>-1027000000</v>
      </c>
    </row>
    <row r="20" spans="1:24" ht="15" customHeight="1" x14ac:dyDescent="0.2">
      <c r="A20" s="22" t="s">
        <v>482</v>
      </c>
      <c r="B20" s="4" t="s">
        <v>88</v>
      </c>
      <c r="C20" s="79">
        <f>-Exploration!C14</f>
        <v>0</v>
      </c>
      <c r="D20" s="79">
        <f>-Exploration!D14</f>
        <v>-5500000</v>
      </c>
      <c r="E20" s="79">
        <f>-Exploration!E14</f>
        <v>-5500000</v>
      </c>
      <c r="F20" s="79">
        <f>-Exploration!F14</f>
        <v>-5500000</v>
      </c>
      <c r="G20" s="79">
        <f>-Exploration!G14</f>
        <v>-5500000</v>
      </c>
      <c r="H20" s="79">
        <f>-Exploration!H14</f>
        <v>-5500000</v>
      </c>
      <c r="I20" s="79">
        <f>-Exploration!I14</f>
        <v>-5500000</v>
      </c>
      <c r="J20" s="79">
        <f>-Exploration!J14</f>
        <v>-5500000</v>
      </c>
      <c r="K20" s="79">
        <f>-Exploration!K14</f>
        <v>-5500000</v>
      </c>
      <c r="L20" s="79">
        <f>-Exploration!L14</f>
        <v>-5500000</v>
      </c>
      <c r="M20" s="79">
        <f>-Exploration!M14</f>
        <v>-5500000</v>
      </c>
      <c r="N20" s="79">
        <f>-Exploration!N14</f>
        <v>0</v>
      </c>
      <c r="O20" s="79">
        <f>-Exploration!O14</f>
        <v>0</v>
      </c>
      <c r="P20" s="79">
        <f>-Exploration!P14</f>
        <v>0</v>
      </c>
      <c r="Q20" s="79">
        <f>-Exploration!Q14</f>
        <v>0</v>
      </c>
      <c r="R20" s="79">
        <f>-Exploration!R14</f>
        <v>0</v>
      </c>
      <c r="S20" s="79">
        <f>-Exploration!S14</f>
        <v>0</v>
      </c>
      <c r="T20" s="79">
        <f>-Exploration!T14</f>
        <v>0</v>
      </c>
      <c r="U20" s="79">
        <f>-Exploration!U14</f>
        <v>0</v>
      </c>
      <c r="V20" s="79">
        <f>-Exploration!V14</f>
        <v>0</v>
      </c>
      <c r="W20" s="79">
        <f>-Exploration!W14</f>
        <v>0</v>
      </c>
      <c r="X20" s="65">
        <f>SUM(C20:W20)</f>
        <v>-55000000</v>
      </c>
    </row>
    <row r="21" spans="1:24" ht="15" customHeight="1" x14ac:dyDescent="0.2">
      <c r="A21" s="22" t="s">
        <v>483</v>
      </c>
      <c r="B21" s="4" t="s">
        <v>88</v>
      </c>
      <c r="C21" s="65">
        <f t="shared" ref="C21:W21" si="3">C15+C18+C19+C20</f>
        <v>-865000000</v>
      </c>
      <c r="D21" s="65">
        <f t="shared" si="3"/>
        <v>1820554149.8508687</v>
      </c>
      <c r="E21" s="65">
        <f t="shared" si="3"/>
        <v>3870998918.4663968</v>
      </c>
      <c r="F21" s="65">
        <f t="shared" si="3"/>
        <v>5158385976.4592905</v>
      </c>
      <c r="G21" s="65">
        <f t="shared" si="3"/>
        <v>5481257978.4200029</v>
      </c>
      <c r="H21" s="65">
        <f t="shared" si="3"/>
        <v>3990379330.1660929</v>
      </c>
      <c r="I21" s="65">
        <f t="shared" si="3"/>
        <v>6213982692.1034098</v>
      </c>
      <c r="J21" s="65">
        <f t="shared" si="3"/>
        <v>6596062033.285244</v>
      </c>
      <c r="K21" s="65">
        <f t="shared" si="3"/>
        <v>6999571750.3386259</v>
      </c>
      <c r="L21" s="65">
        <f t="shared" si="3"/>
        <v>7425686327.9506149</v>
      </c>
      <c r="M21" s="65">
        <f t="shared" si="3"/>
        <v>1569220855.4804273</v>
      </c>
      <c r="N21" s="65">
        <f t="shared" si="3"/>
        <v>324999.99999999575</v>
      </c>
      <c r="O21" s="65">
        <f t="shared" si="3"/>
        <v>43168869.400246039</v>
      </c>
      <c r="P21" s="65">
        <f t="shared" si="3"/>
        <v>45974845.911262035</v>
      </c>
      <c r="Q21" s="65">
        <f t="shared" si="3"/>
        <v>48963210.895494066</v>
      </c>
      <c r="R21" s="65">
        <f t="shared" si="3"/>
        <v>52145819.603701182</v>
      </c>
      <c r="S21" s="65">
        <f t="shared" si="3"/>
        <v>55535297.877941765</v>
      </c>
      <c r="T21" s="65">
        <f t="shared" si="3"/>
        <v>59145092.240007974</v>
      </c>
      <c r="U21" s="65">
        <f t="shared" si="3"/>
        <v>62989523.235608496</v>
      </c>
      <c r="V21" s="65">
        <f t="shared" si="3"/>
        <v>67083842.245923042</v>
      </c>
      <c r="W21" s="65">
        <f t="shared" si="3"/>
        <v>71444291.991908044</v>
      </c>
      <c r="X21" s="65">
        <f>SUM(C21:W21)</f>
        <v>48767875805.923065</v>
      </c>
    </row>
    <row r="22" spans="1:24" ht="15" customHeight="1" x14ac:dyDescent="0.2">
      <c r="A22" s="22" t="s">
        <v>484</v>
      </c>
      <c r="B22" s="4" t="s">
        <v>88</v>
      </c>
      <c r="C22" s="63">
        <v>0</v>
      </c>
      <c r="D22" s="63">
        <f t="shared" ref="D22:W22" si="4">C24</f>
        <v>-865000000</v>
      </c>
      <c r="E22" s="63">
        <f t="shared" si="4"/>
        <v>0</v>
      </c>
      <c r="F22" s="63">
        <f t="shared" si="4"/>
        <v>0</v>
      </c>
      <c r="G22" s="63">
        <f t="shared" si="4"/>
        <v>0</v>
      </c>
      <c r="H22" s="63">
        <f t="shared" si="4"/>
        <v>0</v>
      </c>
      <c r="I22" s="63">
        <f t="shared" si="4"/>
        <v>0</v>
      </c>
      <c r="J22" s="63">
        <f t="shared" si="4"/>
        <v>0</v>
      </c>
      <c r="K22" s="63">
        <f t="shared" si="4"/>
        <v>0</v>
      </c>
      <c r="L22" s="63">
        <f t="shared" si="4"/>
        <v>0</v>
      </c>
      <c r="M22" s="63">
        <f t="shared" si="4"/>
        <v>0</v>
      </c>
      <c r="N22" s="63">
        <f t="shared" si="4"/>
        <v>0</v>
      </c>
      <c r="O22" s="63">
        <f t="shared" si="4"/>
        <v>0</v>
      </c>
      <c r="P22" s="63">
        <f t="shared" si="4"/>
        <v>0</v>
      </c>
      <c r="Q22" s="63">
        <f t="shared" si="4"/>
        <v>0</v>
      </c>
      <c r="R22" s="63">
        <f t="shared" si="4"/>
        <v>0</v>
      </c>
      <c r="S22" s="63">
        <f t="shared" si="4"/>
        <v>0</v>
      </c>
      <c r="T22" s="63">
        <f t="shared" si="4"/>
        <v>0</v>
      </c>
      <c r="U22" s="63">
        <f t="shared" si="4"/>
        <v>0</v>
      </c>
      <c r="V22" s="63">
        <f t="shared" si="4"/>
        <v>0</v>
      </c>
      <c r="W22" s="63">
        <f t="shared" si="4"/>
        <v>0</v>
      </c>
    </row>
    <row r="23" spans="1:24" ht="15" customHeight="1" x14ac:dyDescent="0.2">
      <c r="A23" s="97" t="s">
        <v>485</v>
      </c>
      <c r="B23" s="70" t="s">
        <v>88</v>
      </c>
      <c r="C23" s="101">
        <f t="shared" ref="C23:W23" si="5">MAX(0,C21+C22)</f>
        <v>0</v>
      </c>
      <c r="D23" s="101">
        <f t="shared" si="5"/>
        <v>955554149.8508687</v>
      </c>
      <c r="E23" s="101">
        <f t="shared" si="5"/>
        <v>3870998918.4663968</v>
      </c>
      <c r="F23" s="101">
        <f t="shared" si="5"/>
        <v>5158385976.4592905</v>
      </c>
      <c r="G23" s="101">
        <f t="shared" si="5"/>
        <v>5481257978.4200029</v>
      </c>
      <c r="H23" s="101">
        <f t="shared" si="5"/>
        <v>3990379330.1660929</v>
      </c>
      <c r="I23" s="101">
        <f t="shared" si="5"/>
        <v>6213982692.1034098</v>
      </c>
      <c r="J23" s="101">
        <f t="shared" si="5"/>
        <v>6596062033.285244</v>
      </c>
      <c r="K23" s="101">
        <f t="shared" si="5"/>
        <v>6999571750.3386259</v>
      </c>
      <c r="L23" s="101">
        <f t="shared" si="5"/>
        <v>7425686327.9506149</v>
      </c>
      <c r="M23" s="101">
        <f t="shared" si="5"/>
        <v>1569220855.4804273</v>
      </c>
      <c r="N23" s="101">
        <f t="shared" si="5"/>
        <v>324999.99999999575</v>
      </c>
      <c r="O23" s="101">
        <f t="shared" si="5"/>
        <v>43168869.400246039</v>
      </c>
      <c r="P23" s="101">
        <f t="shared" si="5"/>
        <v>45974845.911262035</v>
      </c>
      <c r="Q23" s="101">
        <f t="shared" si="5"/>
        <v>48963210.895494066</v>
      </c>
      <c r="R23" s="101">
        <f t="shared" si="5"/>
        <v>52145819.603701182</v>
      </c>
      <c r="S23" s="101">
        <f t="shared" si="5"/>
        <v>55535297.877941765</v>
      </c>
      <c r="T23" s="101">
        <f t="shared" si="5"/>
        <v>59145092.240007974</v>
      </c>
      <c r="U23" s="101">
        <f t="shared" si="5"/>
        <v>62989523.235608496</v>
      </c>
      <c r="V23" s="101">
        <f t="shared" si="5"/>
        <v>67083842.245923042</v>
      </c>
      <c r="W23" s="101">
        <f t="shared" si="5"/>
        <v>71444291.991908044</v>
      </c>
      <c r="X23" s="71"/>
    </row>
    <row r="24" spans="1:24" ht="15" customHeight="1" x14ac:dyDescent="0.2">
      <c r="A24" s="22" t="s">
        <v>486</v>
      </c>
      <c r="B24" s="4" t="s">
        <v>88</v>
      </c>
      <c r="C24" s="60">
        <f t="shared" ref="C24:W24" si="6">IF(C21+C22&lt;0,C21+C22,0)</f>
        <v>-865000000</v>
      </c>
      <c r="D24" s="60">
        <f t="shared" si="6"/>
        <v>0</v>
      </c>
      <c r="E24" s="60">
        <f t="shared" si="6"/>
        <v>0</v>
      </c>
      <c r="F24" s="60">
        <f t="shared" si="6"/>
        <v>0</v>
      </c>
      <c r="G24" s="60">
        <f t="shared" si="6"/>
        <v>0</v>
      </c>
      <c r="H24" s="60">
        <f t="shared" si="6"/>
        <v>0</v>
      </c>
      <c r="I24" s="60">
        <f t="shared" si="6"/>
        <v>0</v>
      </c>
      <c r="J24" s="60">
        <f t="shared" si="6"/>
        <v>0</v>
      </c>
      <c r="K24" s="60">
        <f t="shared" si="6"/>
        <v>0</v>
      </c>
      <c r="L24" s="60">
        <f t="shared" si="6"/>
        <v>0</v>
      </c>
      <c r="M24" s="60">
        <f t="shared" si="6"/>
        <v>0</v>
      </c>
      <c r="N24" s="60">
        <f t="shared" si="6"/>
        <v>0</v>
      </c>
      <c r="O24" s="60">
        <f t="shared" si="6"/>
        <v>0</v>
      </c>
      <c r="P24" s="60">
        <f t="shared" si="6"/>
        <v>0</v>
      </c>
      <c r="Q24" s="60">
        <f t="shared" si="6"/>
        <v>0</v>
      </c>
      <c r="R24" s="60">
        <f t="shared" si="6"/>
        <v>0</v>
      </c>
      <c r="S24" s="60">
        <f t="shared" si="6"/>
        <v>0</v>
      </c>
      <c r="T24" s="60">
        <f t="shared" si="6"/>
        <v>0</v>
      </c>
      <c r="U24" s="60">
        <f t="shared" si="6"/>
        <v>0</v>
      </c>
      <c r="V24" s="60">
        <f t="shared" si="6"/>
        <v>0</v>
      </c>
      <c r="W24" s="60">
        <f t="shared" si="6"/>
        <v>0</v>
      </c>
    </row>
    <row r="25" spans="1:24" ht="15" customHeight="1" x14ac:dyDescent="0.2"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</row>
    <row r="26" spans="1:24" ht="15" customHeight="1" x14ac:dyDescent="0.2">
      <c r="A26" s="27" t="s">
        <v>487</v>
      </c>
      <c r="B26" s="104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20"/>
    </row>
    <row r="27" spans="1:24" ht="15" customHeight="1" x14ac:dyDescent="0.2">
      <c r="A27" s="22" t="s">
        <v>488</v>
      </c>
      <c r="B27" s="4" t="s">
        <v>117</v>
      </c>
      <c r="C27" s="44">
        <f t="shared" ref="C27:W27" si="7">IF(OR(C23&lt;=0,C7&lt;=0),0,C23/C7*100)</f>
        <v>0</v>
      </c>
      <c r="D27" s="44">
        <f t="shared" si="7"/>
        <v>24.907565353978804</v>
      </c>
      <c r="E27" s="44">
        <f t="shared" si="7"/>
        <v>48.550691876522791</v>
      </c>
      <c r="F27" s="44">
        <f t="shared" si="7"/>
        <v>49.265035368073931</v>
      </c>
      <c r="G27" s="44">
        <f t="shared" si="7"/>
        <v>49.827352267404592</v>
      </c>
      <c r="H27" s="44">
        <f t="shared" si="7"/>
        <v>48.913870383207879</v>
      </c>
      <c r="I27" s="44">
        <f t="shared" si="7"/>
        <v>51.177941515332506</v>
      </c>
      <c r="J27" s="44">
        <f t="shared" si="7"/>
        <v>51.708282075611542</v>
      </c>
      <c r="K27" s="44">
        <f t="shared" si="7"/>
        <v>52.228728262509762</v>
      </c>
      <c r="L27" s="44">
        <f t="shared" si="7"/>
        <v>52.739642919357564</v>
      </c>
      <c r="M27" s="44">
        <f t="shared" si="7"/>
        <v>51.526202617269547</v>
      </c>
      <c r="N27" s="44">
        <f t="shared" si="7"/>
        <v>0</v>
      </c>
      <c r="O27" s="44">
        <f t="shared" si="7"/>
        <v>0</v>
      </c>
      <c r="P27" s="44">
        <f t="shared" si="7"/>
        <v>0</v>
      </c>
      <c r="Q27" s="44">
        <f t="shared" si="7"/>
        <v>0</v>
      </c>
      <c r="R27" s="44">
        <f t="shared" si="7"/>
        <v>0</v>
      </c>
      <c r="S27" s="44">
        <f t="shared" si="7"/>
        <v>0</v>
      </c>
      <c r="T27" s="44">
        <f t="shared" si="7"/>
        <v>0</v>
      </c>
      <c r="U27" s="44">
        <f t="shared" si="7"/>
        <v>0</v>
      </c>
      <c r="V27" s="44">
        <f t="shared" si="7"/>
        <v>0</v>
      </c>
      <c r="W27" s="44">
        <f t="shared" si="7"/>
        <v>0</v>
      </c>
    </row>
    <row r="28" spans="1:24" ht="15" customHeight="1" x14ac:dyDescent="0.2">
      <c r="A28" s="22" t="s">
        <v>489</v>
      </c>
      <c r="B28" s="4" t="s">
        <v>117</v>
      </c>
      <c r="C28" s="44">
        <f t="shared" ref="C28:W28" si="8">IF(C27&lt;=0,0,34-170/C27)</f>
        <v>0</v>
      </c>
      <c r="D28" s="44">
        <f t="shared" si="8"/>
        <v>27.17476447079386</v>
      </c>
      <c r="E28" s="44">
        <f t="shared" si="8"/>
        <v>30.498505099940598</v>
      </c>
      <c r="F28" s="44">
        <f t="shared" si="8"/>
        <v>30.54927681001589</v>
      </c>
      <c r="G28" s="44">
        <f t="shared" si="8"/>
        <v>30.58821927587735</v>
      </c>
      <c r="H28" s="44">
        <f t="shared" si="8"/>
        <v>30.524503199845725</v>
      </c>
      <c r="I28" s="44">
        <f t="shared" si="8"/>
        <v>30.678256393937428</v>
      </c>
      <c r="J28" s="44">
        <f t="shared" si="8"/>
        <v>30.712325508099187</v>
      </c>
      <c r="K28" s="44">
        <f t="shared" si="8"/>
        <v>30.745086360411584</v>
      </c>
      <c r="L28" s="44">
        <f t="shared" si="8"/>
        <v>30.776618297170852</v>
      </c>
      <c r="M28" s="44">
        <f t="shared" si="8"/>
        <v>30.70070776876884</v>
      </c>
      <c r="N28" s="44">
        <f t="shared" si="8"/>
        <v>0</v>
      </c>
      <c r="O28" s="44">
        <f t="shared" si="8"/>
        <v>0</v>
      </c>
      <c r="P28" s="44">
        <f t="shared" si="8"/>
        <v>0</v>
      </c>
      <c r="Q28" s="44">
        <f t="shared" si="8"/>
        <v>0</v>
      </c>
      <c r="R28" s="44">
        <f t="shared" si="8"/>
        <v>0</v>
      </c>
      <c r="S28" s="44">
        <f t="shared" si="8"/>
        <v>0</v>
      </c>
      <c r="T28" s="44">
        <f t="shared" si="8"/>
        <v>0</v>
      </c>
      <c r="U28" s="44">
        <f t="shared" si="8"/>
        <v>0</v>
      </c>
      <c r="V28" s="44">
        <f t="shared" si="8"/>
        <v>0</v>
      </c>
      <c r="W28" s="44">
        <f t="shared" si="8"/>
        <v>0</v>
      </c>
    </row>
    <row r="29" spans="1:24" ht="15" customHeight="1" x14ac:dyDescent="0.2">
      <c r="A29" s="22" t="s">
        <v>490</v>
      </c>
      <c r="B29" s="4" t="s">
        <v>117</v>
      </c>
      <c r="C29" s="44">
        <f t="shared" ref="C29:W29" si="9">MIN(0.34,MAX(0,C28/100))</f>
        <v>0</v>
      </c>
      <c r="D29" s="44">
        <f t="shared" si="9"/>
        <v>0.27174764470793861</v>
      </c>
      <c r="E29" s="44">
        <f t="shared" si="9"/>
        <v>0.30498505099940598</v>
      </c>
      <c r="F29" s="44">
        <f t="shared" si="9"/>
        <v>0.30549276810015891</v>
      </c>
      <c r="G29" s="44">
        <f t="shared" si="9"/>
        <v>0.30588219275877349</v>
      </c>
      <c r="H29" s="44">
        <f t="shared" si="9"/>
        <v>0.30524503199845726</v>
      </c>
      <c r="I29" s="44">
        <f t="shared" si="9"/>
        <v>0.30678256393937425</v>
      </c>
      <c r="J29" s="44">
        <f t="shared" si="9"/>
        <v>0.30712325508099186</v>
      </c>
      <c r="K29" s="44">
        <f t="shared" si="9"/>
        <v>0.30745086360411583</v>
      </c>
      <c r="L29" s="44">
        <f t="shared" si="9"/>
        <v>0.30776618297170855</v>
      </c>
      <c r="M29" s="44">
        <f t="shared" si="9"/>
        <v>0.30700707768768842</v>
      </c>
      <c r="N29" s="44">
        <f t="shared" si="9"/>
        <v>0</v>
      </c>
      <c r="O29" s="44">
        <f t="shared" si="9"/>
        <v>0</v>
      </c>
      <c r="P29" s="44">
        <f t="shared" si="9"/>
        <v>0</v>
      </c>
      <c r="Q29" s="44">
        <f t="shared" si="9"/>
        <v>0</v>
      </c>
      <c r="R29" s="44">
        <f t="shared" si="9"/>
        <v>0</v>
      </c>
      <c r="S29" s="44">
        <f t="shared" si="9"/>
        <v>0</v>
      </c>
      <c r="T29" s="44">
        <f t="shared" si="9"/>
        <v>0</v>
      </c>
      <c r="U29" s="44">
        <f t="shared" si="9"/>
        <v>0</v>
      </c>
      <c r="V29" s="44">
        <f t="shared" si="9"/>
        <v>0</v>
      </c>
      <c r="W29" s="44">
        <f t="shared" si="9"/>
        <v>0</v>
      </c>
    </row>
    <row r="30" spans="1:24" ht="15" customHeight="1" x14ac:dyDescent="0.2">
      <c r="A30" s="97" t="s">
        <v>65</v>
      </c>
      <c r="B30" s="70" t="s">
        <v>88</v>
      </c>
      <c r="C30" s="101">
        <f t="shared" ref="C30:W30" si="10">-C23*C29</f>
        <v>0</v>
      </c>
      <c r="D30" s="101">
        <f t="shared" si="10"/>
        <v>-259669589.61287019</v>
      </c>
      <c r="E30" s="101">
        <f t="shared" si="10"/>
        <v>-1180596802.5671194</v>
      </c>
      <c r="F30" s="101">
        <f t="shared" si="10"/>
        <v>-1575849610.8775897</v>
      </c>
      <c r="G30" s="101">
        <f t="shared" si="10"/>
        <v>-1676619209.5156324</v>
      </c>
      <c r="H30" s="101">
        <f t="shared" si="10"/>
        <v>-1218043466.3225315</v>
      </c>
      <c r="I30" s="101">
        <f t="shared" si="10"/>
        <v>-1906341542.5583792</v>
      </c>
      <c r="J30" s="101">
        <f t="shared" si="10"/>
        <v>-2025804042.3787098</v>
      </c>
      <c r="K30" s="101">
        <f t="shared" si="10"/>
        <v>-2152024379.5005832</v>
      </c>
      <c r="L30" s="101">
        <f t="shared" si="10"/>
        <v>-2285375137.0985637</v>
      </c>
      <c r="M30" s="101">
        <f t="shared" si="10"/>
        <v>-481761909.08762044</v>
      </c>
      <c r="N30" s="101">
        <f t="shared" si="10"/>
        <v>0</v>
      </c>
      <c r="O30" s="101">
        <f t="shared" si="10"/>
        <v>0</v>
      </c>
      <c r="P30" s="101">
        <f t="shared" si="10"/>
        <v>0</v>
      </c>
      <c r="Q30" s="101">
        <f t="shared" si="10"/>
        <v>0</v>
      </c>
      <c r="R30" s="101">
        <f t="shared" si="10"/>
        <v>0</v>
      </c>
      <c r="S30" s="101">
        <f t="shared" si="10"/>
        <v>0</v>
      </c>
      <c r="T30" s="101">
        <f t="shared" si="10"/>
        <v>0</v>
      </c>
      <c r="U30" s="101">
        <f t="shared" si="10"/>
        <v>0</v>
      </c>
      <c r="V30" s="101">
        <f t="shared" si="10"/>
        <v>0</v>
      </c>
      <c r="W30" s="101">
        <f t="shared" si="10"/>
        <v>0</v>
      </c>
      <c r="X30" s="101">
        <f>SUM(C30:W30)</f>
        <v>-14762085689.5196</v>
      </c>
    </row>
    <row r="32" spans="1:24" ht="15" customHeight="1" x14ac:dyDescent="0.2">
      <c r="A32" s="27" t="s">
        <v>81</v>
      </c>
      <c r="B32" s="104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3" ht="15" customHeight="1" x14ac:dyDescent="0.2">
      <c r="A33" s="22" t="s">
        <v>491</v>
      </c>
      <c r="B33" s="4" t="s">
        <v>88</v>
      </c>
      <c r="C33" s="79">
        <f>'Income Statement'!C19</f>
        <v>0</v>
      </c>
      <c r="D33" s="79">
        <f>C33+'Income Statement'!D19</f>
        <v>-92000000</v>
      </c>
      <c r="E33" s="79">
        <f>D33+'Income Statement'!E19</f>
        <v>-184000000</v>
      </c>
      <c r="F33" s="79">
        <f>E33+'Income Statement'!F19</f>
        <v>-276000000</v>
      </c>
      <c r="G33" s="79">
        <f>F33+'Income Statement'!G19</f>
        <v>-368900000</v>
      </c>
      <c r="H33" s="79">
        <f>G33+'Income Statement'!H19</f>
        <v>-462700000</v>
      </c>
      <c r="I33" s="79">
        <f>H33+'Income Statement'!I19</f>
        <v>-566400000</v>
      </c>
      <c r="J33" s="79">
        <f>I33+'Income Statement'!J19</f>
        <v>-671000000</v>
      </c>
      <c r="K33" s="79">
        <f>J33+'Income Statement'!K19</f>
        <v>-776500000</v>
      </c>
      <c r="L33" s="79">
        <f>K33+'Income Statement'!L19</f>
        <v>-882900000</v>
      </c>
      <c r="M33" s="79">
        <f>L33+'Income Statement'!M19</f>
        <v>-990200000</v>
      </c>
      <c r="N33" s="79">
        <f>M33+'Income Statement'!N19</f>
        <v>-990200000</v>
      </c>
      <c r="O33" s="79">
        <f>N33+'Income Statement'!O19</f>
        <v>-990200000</v>
      </c>
      <c r="P33" s="79">
        <f>O33+'Income Statement'!P19</f>
        <v>-990200000</v>
      </c>
      <c r="Q33" s="79">
        <f>P33+'Income Statement'!Q19</f>
        <v>-990200000</v>
      </c>
      <c r="R33" s="79">
        <f>Q33+'Income Statement'!R19</f>
        <v>-990200000</v>
      </c>
      <c r="S33" s="79">
        <f>R33+'Income Statement'!S19</f>
        <v>-990200000</v>
      </c>
      <c r="T33" s="79">
        <f>S33+'Income Statement'!T19</f>
        <v>-990200000</v>
      </c>
      <c r="U33" s="79">
        <f>T33+'Income Statement'!U19</f>
        <v>-990200000</v>
      </c>
      <c r="V33" s="79">
        <f>U33+'Income Statement'!V19</f>
        <v>-990200000</v>
      </c>
      <c r="W33" s="79">
        <f>V33+'Income Statement'!W19</f>
        <v>-990200000</v>
      </c>
    </row>
    <row r="34" spans="1:23" ht="15" customHeight="1" x14ac:dyDescent="0.2">
      <c r="A34" s="22" t="s">
        <v>492</v>
      </c>
      <c r="B34" s="4" t="s">
        <v>88</v>
      </c>
      <c r="C34" s="79">
        <f>-'Fixed Assets'!C8-Exploration!C5</f>
        <v>-920000000</v>
      </c>
      <c r="D34" s="79">
        <f>C34-'Fixed Assets'!D8-Exploration!D5</f>
        <v>-920000000</v>
      </c>
      <c r="E34" s="79">
        <f>D34-'Fixed Assets'!E8-Exploration!E5</f>
        <v>-920000000</v>
      </c>
      <c r="F34" s="79">
        <f>E34-'Fixed Assets'!F8-Exploration!F5</f>
        <v>-929000000</v>
      </c>
      <c r="G34" s="79">
        <f>F34-'Fixed Assets'!G8-Exploration!G5</f>
        <v>-938000000</v>
      </c>
      <c r="H34" s="79">
        <f>G34-'Fixed Assets'!H8-Exploration!H5</f>
        <v>-1037000000</v>
      </c>
      <c r="I34" s="79">
        <f>H34-'Fixed Assets'!I8-Exploration!I5</f>
        <v>-1046000000</v>
      </c>
      <c r="J34" s="79">
        <f>I34-'Fixed Assets'!J8-Exploration!J5</f>
        <v>-1055000000</v>
      </c>
      <c r="K34" s="79">
        <f>J34-'Fixed Assets'!K8-Exploration!K5</f>
        <v>-1064000000</v>
      </c>
      <c r="L34" s="79">
        <f>K34-'Fixed Assets'!L8-Exploration!L5</f>
        <v>-1073000000</v>
      </c>
      <c r="M34" s="79">
        <f>L34-'Fixed Assets'!M8-Exploration!M5</f>
        <v>-1082000000</v>
      </c>
      <c r="N34" s="79">
        <f>M34-'Fixed Assets'!N8-Exploration!N5</f>
        <v>-1082000000</v>
      </c>
      <c r="O34" s="79">
        <f>N34-'Fixed Assets'!O8-Exploration!O5</f>
        <v>-1082000000</v>
      </c>
      <c r="P34" s="79">
        <f>O34-'Fixed Assets'!P8-Exploration!P5</f>
        <v>-1082000000</v>
      </c>
      <c r="Q34" s="79">
        <f>P34-'Fixed Assets'!Q8-Exploration!Q5</f>
        <v>-1082000000</v>
      </c>
      <c r="R34" s="79">
        <f>Q34-'Fixed Assets'!R8-Exploration!R5</f>
        <v>-1082000000</v>
      </c>
      <c r="S34" s="79">
        <f>R34-'Fixed Assets'!S8-Exploration!S5</f>
        <v>-1082000000</v>
      </c>
      <c r="T34" s="79">
        <f>S34-'Fixed Assets'!T8-Exploration!T5</f>
        <v>-1082000000</v>
      </c>
      <c r="U34" s="79">
        <f>T34-'Fixed Assets'!U8-Exploration!U5</f>
        <v>-1082000000</v>
      </c>
      <c r="V34" s="79">
        <f>U34-'Fixed Assets'!V8-Exploration!V5</f>
        <v>-1082000000</v>
      </c>
      <c r="W34" s="79">
        <f>V34-'Fixed Assets'!W8-Exploration!W5</f>
        <v>-1082000000</v>
      </c>
    </row>
    <row r="35" spans="1:23" ht="15" customHeight="1" x14ac:dyDescent="0.2">
      <c r="A35" s="22" t="s">
        <v>493</v>
      </c>
      <c r="B35" s="4" t="s">
        <v>88</v>
      </c>
      <c r="C35" s="63">
        <f t="shared" ref="C35:W35" si="11">C33-C34</f>
        <v>920000000</v>
      </c>
      <c r="D35" s="63">
        <f t="shared" si="11"/>
        <v>828000000</v>
      </c>
      <c r="E35" s="63">
        <f t="shared" si="11"/>
        <v>736000000</v>
      </c>
      <c r="F35" s="63">
        <f t="shared" si="11"/>
        <v>653000000</v>
      </c>
      <c r="G35" s="63">
        <f t="shared" si="11"/>
        <v>569100000</v>
      </c>
      <c r="H35" s="63">
        <f t="shared" si="11"/>
        <v>574300000</v>
      </c>
      <c r="I35" s="63">
        <f t="shared" si="11"/>
        <v>479600000</v>
      </c>
      <c r="J35" s="63">
        <f t="shared" si="11"/>
        <v>384000000</v>
      </c>
      <c r="K35" s="63">
        <f t="shared" si="11"/>
        <v>287500000</v>
      </c>
      <c r="L35" s="63">
        <f t="shared" si="11"/>
        <v>190100000</v>
      </c>
      <c r="M35" s="63">
        <f t="shared" si="11"/>
        <v>91800000</v>
      </c>
      <c r="N35" s="63">
        <f t="shared" si="11"/>
        <v>91800000</v>
      </c>
      <c r="O35" s="63">
        <f t="shared" si="11"/>
        <v>91800000</v>
      </c>
      <c r="P35" s="63">
        <f t="shared" si="11"/>
        <v>91800000</v>
      </c>
      <c r="Q35" s="63">
        <f t="shared" si="11"/>
        <v>91800000</v>
      </c>
      <c r="R35" s="63">
        <f t="shared" si="11"/>
        <v>91800000</v>
      </c>
      <c r="S35" s="63">
        <f t="shared" si="11"/>
        <v>91800000</v>
      </c>
      <c r="T35" s="63">
        <f t="shared" si="11"/>
        <v>91800000</v>
      </c>
      <c r="U35" s="63">
        <f t="shared" si="11"/>
        <v>91800000</v>
      </c>
      <c r="V35" s="63">
        <f t="shared" si="11"/>
        <v>91800000</v>
      </c>
      <c r="W35" s="63">
        <f t="shared" si="11"/>
        <v>91800000</v>
      </c>
    </row>
    <row r="36" spans="1:23" ht="15" customHeight="1" x14ac:dyDescent="0.2">
      <c r="A36" s="22" t="s">
        <v>494</v>
      </c>
      <c r="B36" s="4" t="s">
        <v>88</v>
      </c>
      <c r="C36" s="63">
        <f>C35*Assumptions!E14</f>
        <v>248400000.00000003</v>
      </c>
      <c r="D36" s="63">
        <f>D35*Assumptions!E14</f>
        <v>223560000</v>
      </c>
      <c r="E36" s="63">
        <f>E35*Assumptions!E14</f>
        <v>198720000</v>
      </c>
      <c r="F36" s="63">
        <f>F35*Assumptions!E14</f>
        <v>176310000</v>
      </c>
      <c r="G36" s="63">
        <f>G35*Assumptions!E14</f>
        <v>153657000</v>
      </c>
      <c r="H36" s="63">
        <f>H35*Assumptions!E14</f>
        <v>155061000</v>
      </c>
      <c r="I36" s="63">
        <f>I35*Assumptions!E14</f>
        <v>129492000.00000001</v>
      </c>
      <c r="J36" s="63">
        <f>J35*Assumptions!E14</f>
        <v>103680000</v>
      </c>
      <c r="K36" s="63">
        <f>K35*Assumptions!E14</f>
        <v>77625000</v>
      </c>
      <c r="L36" s="63">
        <f>L35*Assumptions!E14</f>
        <v>51327000</v>
      </c>
      <c r="M36" s="63">
        <f>M35*Assumptions!E14</f>
        <v>24786000</v>
      </c>
      <c r="N36" s="63">
        <f>N35*Assumptions!E14</f>
        <v>24786000</v>
      </c>
      <c r="O36" s="63">
        <f>O35*Assumptions!E14</f>
        <v>24786000</v>
      </c>
      <c r="P36" s="63">
        <f>P35*Assumptions!E14</f>
        <v>24786000</v>
      </c>
      <c r="Q36" s="63">
        <f>Q35*Assumptions!E14</f>
        <v>24786000</v>
      </c>
      <c r="R36" s="63">
        <f>R35*Assumptions!E14</f>
        <v>24786000</v>
      </c>
      <c r="S36" s="63">
        <f>S35*Assumptions!E14</f>
        <v>24786000</v>
      </c>
      <c r="T36" s="63">
        <f>T35*Assumptions!E14</f>
        <v>24786000</v>
      </c>
      <c r="U36" s="63">
        <f>U35*Assumptions!E14</f>
        <v>24786000</v>
      </c>
      <c r="V36" s="63">
        <f>V35*Assumptions!E14</f>
        <v>24786000</v>
      </c>
      <c r="W36" s="63">
        <f>W35*Assumptions!E14</f>
        <v>24786000</v>
      </c>
    </row>
    <row r="37" spans="1:23" ht="15" customHeight="1" x14ac:dyDescent="0.2">
      <c r="A37" s="22" t="s">
        <v>495</v>
      </c>
      <c r="B37" s="4" t="s">
        <v>88</v>
      </c>
      <c r="C37" s="63">
        <f>C36</f>
        <v>248400000.00000003</v>
      </c>
      <c r="D37" s="63">
        <f t="shared" ref="D37:W37" si="12">D36-C36</f>
        <v>-24840000.00000003</v>
      </c>
      <c r="E37" s="63">
        <f t="shared" si="12"/>
        <v>-24840000</v>
      </c>
      <c r="F37" s="63">
        <f t="shared" si="12"/>
        <v>-22410000</v>
      </c>
      <c r="G37" s="63">
        <f t="shared" si="12"/>
        <v>-22653000</v>
      </c>
      <c r="H37" s="63">
        <f t="shared" si="12"/>
        <v>1404000</v>
      </c>
      <c r="I37" s="63">
        <f t="shared" si="12"/>
        <v>-25568999.999999985</v>
      </c>
      <c r="J37" s="63">
        <f t="shared" si="12"/>
        <v>-25812000.000000015</v>
      </c>
      <c r="K37" s="63">
        <f t="shared" si="12"/>
        <v>-26055000</v>
      </c>
      <c r="L37" s="63">
        <f t="shared" si="12"/>
        <v>-26298000</v>
      </c>
      <c r="M37" s="63">
        <f t="shared" si="12"/>
        <v>-26541000</v>
      </c>
      <c r="N37" s="63">
        <f t="shared" si="12"/>
        <v>0</v>
      </c>
      <c r="O37" s="63">
        <f t="shared" si="12"/>
        <v>0</v>
      </c>
      <c r="P37" s="63">
        <f t="shared" si="12"/>
        <v>0</v>
      </c>
      <c r="Q37" s="63">
        <f t="shared" si="12"/>
        <v>0</v>
      </c>
      <c r="R37" s="63">
        <f t="shared" si="12"/>
        <v>0</v>
      </c>
      <c r="S37" s="63">
        <f t="shared" si="12"/>
        <v>0</v>
      </c>
      <c r="T37" s="63">
        <f t="shared" si="12"/>
        <v>0</v>
      </c>
      <c r="U37" s="63">
        <f t="shared" si="12"/>
        <v>0</v>
      </c>
      <c r="V37" s="63">
        <f t="shared" si="12"/>
        <v>0</v>
      </c>
      <c r="W37" s="63">
        <f t="shared" si="12"/>
        <v>0</v>
      </c>
    </row>
  </sheetData>
  <pageMargins left="0.75" right="0.75" top="1" bottom="1" header="0.511811023622047" footer="0.511811023622047"/>
  <pageSetup paperSize="8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Model Map</vt:lpstr>
      <vt:lpstr>Assumptions</vt:lpstr>
      <vt:lpstr>Executive Summary</vt:lpstr>
      <vt:lpstr>Operations</vt:lpstr>
      <vt:lpstr>Precious Metals</vt:lpstr>
      <vt:lpstr>Base Metals</vt:lpstr>
      <vt:lpstr>By-product Revenue</vt:lpstr>
      <vt:lpstr>Income Statement</vt:lpstr>
      <vt:lpstr>SA Tax Computation</vt:lpstr>
      <vt:lpstr>Fixed Assets</vt:lpstr>
      <vt:lpstr>Exploration</vt:lpstr>
      <vt:lpstr>Balance Sheet</vt:lpstr>
      <vt:lpstr>Debt Schedule</vt:lpstr>
      <vt:lpstr>Cash Flow</vt:lpstr>
      <vt:lpstr>FCF Analysis</vt:lpstr>
      <vt:lpstr>KPIs</vt:lpstr>
      <vt:lpstr>Sensitivity Analysis</vt:lpstr>
      <vt:lpstr>Checks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Mark Rosslee</cp:lastModifiedBy>
  <cp:revision>16</cp:revision>
  <dcterms:created xsi:type="dcterms:W3CDTF">2026-02-24T12:51:57Z</dcterms:created>
  <dcterms:modified xsi:type="dcterms:W3CDTF">2026-02-25T05:42:08Z</dcterms:modified>
  <dc:language>en-US</dc:language>
</cp:coreProperties>
</file>